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gdouglas\Desktop\OSL\"/>
    </mc:Choice>
  </mc:AlternateContent>
  <xr:revisionPtr revIDLastSave="0" documentId="13_ncr:1_{1091365A-B940-4577-936C-ED6C851809B2}" xr6:coauthVersionLast="47" xr6:coauthVersionMax="47" xr10:uidLastSave="{00000000-0000-0000-0000-000000000000}"/>
  <bookViews>
    <workbookView xWindow="-110" yWindow="-110" windowWidth="22780" windowHeight="14540" tabRatio="879" xr2:uid="{7535C856-5266-4304-8ECB-02B16B8E9435}"/>
  </bookViews>
  <sheets>
    <sheet name="Read me" sheetId="1" r:id="rId1"/>
    <sheet name="Tab 1 - Steps and Assumptions" sheetId="15" r:id="rId2"/>
    <sheet name="Tab 2 - Rate Summary" sheetId="2" r:id="rId3"/>
    <sheet name="No pymt delay model" sheetId="5" state="hidden" r:id="rId4"/>
    <sheet name="Tab 3 - Unlevied Land" sheetId="16" r:id="rId5"/>
    <sheet name="Tab 4 - Infrastructure" sheetId="3" r:id="rId6"/>
    <sheet name="Tab 5 - Benefit Allocation" sheetId="19" r:id="rId7"/>
    <sheet name="Tab 6 - Financial Model" sheetId="17" r:id="rId8"/>
    <sheet name="Tab 7 - Bylaw Continuity" sheetId="20" r:id="rId9"/>
    <sheet name="Tab 4 - Summary" sheetId="12" state="hidden" r:id="rId10"/>
  </sheets>
  <externalReferences>
    <externalReference r:id="rId11"/>
  </externalReferences>
  <definedNames>
    <definedName name="solver_adj" localSheetId="3" hidden="1">'No pymt delay model'!$E$25</definedName>
    <definedName name="solver_adj" localSheetId="7" hidden="1">'Tab 6 - Financial Model'!$C$3</definedName>
    <definedName name="solver_cvg" localSheetId="3" hidden="1">0.0001</definedName>
    <definedName name="solver_cvg" localSheetId="7" hidden="1">0.0001</definedName>
    <definedName name="solver_drv" localSheetId="3" hidden="1">2</definedName>
    <definedName name="solver_drv" localSheetId="7" hidden="1">2</definedName>
    <definedName name="solver_eng" localSheetId="3" hidden="1">1</definedName>
    <definedName name="solver_eng" localSheetId="7" hidden="1">1</definedName>
    <definedName name="solver_est" localSheetId="3" hidden="1">1</definedName>
    <definedName name="solver_est" localSheetId="7" hidden="1">1</definedName>
    <definedName name="solver_itr" localSheetId="3" hidden="1">2147483647</definedName>
    <definedName name="solver_itr" localSheetId="7" hidden="1">2147483647</definedName>
    <definedName name="solver_mip" localSheetId="3" hidden="1">2147483647</definedName>
    <definedName name="solver_mip" localSheetId="7" hidden="1">2147483647</definedName>
    <definedName name="solver_mni" localSheetId="3" hidden="1">30</definedName>
    <definedName name="solver_mni" localSheetId="7" hidden="1">30</definedName>
    <definedName name="solver_mrt" localSheetId="3" hidden="1">0.075</definedName>
    <definedName name="solver_mrt" localSheetId="7" hidden="1">0.075</definedName>
    <definedName name="solver_msl" localSheetId="3" hidden="1">2</definedName>
    <definedName name="solver_msl" localSheetId="7" hidden="1">2</definedName>
    <definedName name="solver_neg" localSheetId="3" hidden="1">1</definedName>
    <definedName name="solver_neg" localSheetId="7" hidden="1">1</definedName>
    <definedName name="solver_nod" localSheetId="3" hidden="1">2147483647</definedName>
    <definedName name="solver_nod" localSheetId="7" hidden="1">2147483647</definedName>
    <definedName name="solver_num" localSheetId="3" hidden="1">0</definedName>
    <definedName name="solver_num" localSheetId="7" hidden="1">0</definedName>
    <definedName name="solver_nwt" localSheetId="3" hidden="1">1</definedName>
    <definedName name="solver_nwt" localSheetId="7" hidden="1">1</definedName>
    <definedName name="solver_opt" localSheetId="3" hidden="1">'No pymt delay model'!#REF!</definedName>
    <definedName name="solver_opt" localSheetId="7" hidden="1">'Tab 6 - Financial Model'!#REF!</definedName>
    <definedName name="solver_pre" localSheetId="3" hidden="1">0.000001</definedName>
    <definedName name="solver_pre" localSheetId="7" hidden="1">0.000001</definedName>
    <definedName name="solver_rbv" localSheetId="3" hidden="1">2</definedName>
    <definedName name="solver_rbv" localSheetId="7" hidden="1">2</definedName>
    <definedName name="solver_rlx" localSheetId="3" hidden="1">2</definedName>
    <definedName name="solver_rlx" localSheetId="7" hidden="1">2</definedName>
    <definedName name="solver_rsd" localSheetId="3" hidden="1">0</definedName>
    <definedName name="solver_rsd" localSheetId="7" hidden="1">0</definedName>
    <definedName name="solver_scl" localSheetId="3" hidden="1">2</definedName>
    <definedName name="solver_scl" localSheetId="7" hidden="1">2</definedName>
    <definedName name="solver_sho" localSheetId="3" hidden="1">2</definedName>
    <definedName name="solver_sho" localSheetId="7" hidden="1">2</definedName>
    <definedName name="solver_ssz" localSheetId="3" hidden="1">100</definedName>
    <definedName name="solver_ssz" localSheetId="7" hidden="1">100</definedName>
    <definedName name="solver_tim" localSheetId="3" hidden="1">2147483647</definedName>
    <definedName name="solver_tim" localSheetId="7" hidden="1">2147483647</definedName>
    <definedName name="solver_tol" localSheetId="3" hidden="1">0.01</definedName>
    <definedName name="solver_tol" localSheetId="7" hidden="1">0.01</definedName>
    <definedName name="solver_typ" localSheetId="3" hidden="1">3</definedName>
    <definedName name="solver_typ" localSheetId="7" hidden="1">3</definedName>
    <definedName name="solver_val" localSheetId="3" hidden="1">0</definedName>
    <definedName name="solver_val" localSheetId="7" hidden="1">0</definedName>
    <definedName name="solver_ver" localSheetId="3" hidden="1">3</definedName>
    <definedName name="solver_ver" localSheetId="7" hidde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2" l="1"/>
  <c r="K63" i="20"/>
  <c r="AS35" i="17"/>
  <c r="L13" i="20"/>
  <c r="F20" i="19"/>
  <c r="F21" i="19"/>
  <c r="F22" i="19"/>
  <c r="F17" i="19"/>
  <c r="F18" i="19"/>
  <c r="F19" i="19"/>
  <c r="F15" i="19"/>
  <c r="H16" i="19"/>
  <c r="H17" i="19"/>
  <c r="F16" i="17" s="1"/>
  <c r="H18" i="19"/>
  <c r="H19" i="19"/>
  <c r="F18" i="17" s="1"/>
  <c r="H20" i="19"/>
  <c r="F19" i="17" s="1"/>
  <c r="H21" i="19"/>
  <c r="F20" i="17" s="1"/>
  <c r="H22" i="19"/>
  <c r="F21" i="17" s="1"/>
  <c r="H15" i="19"/>
  <c r="F14" i="17" s="1"/>
  <c r="F13" i="3"/>
  <c r="F14" i="3"/>
  <c r="F15" i="3"/>
  <c r="F16" i="3"/>
  <c r="F17" i="3"/>
  <c r="I19" i="17" s="1"/>
  <c r="F18" i="3"/>
  <c r="I20" i="17" s="1"/>
  <c r="F19" i="3"/>
  <c r="I21" i="17" s="1"/>
  <c r="F12" i="3"/>
  <c r="P13" i="20"/>
  <c r="O13" i="20"/>
  <c r="I14" i="17"/>
  <c r="I15" i="17"/>
  <c r="I16" i="17"/>
  <c r="I17" i="17"/>
  <c r="I18" i="17"/>
  <c r="F15" i="17"/>
  <c r="F17" i="17"/>
  <c r="D15" i="17"/>
  <c r="D16" i="17"/>
  <c r="D17" i="17"/>
  <c r="D18" i="17"/>
  <c r="D19" i="17"/>
  <c r="D20" i="17"/>
  <c r="D21" i="17"/>
  <c r="D14" i="17"/>
  <c r="B15" i="17"/>
  <c r="B18" i="20" s="1"/>
  <c r="B16" i="17"/>
  <c r="B21" i="20" s="1"/>
  <c r="B17" i="17"/>
  <c r="B18" i="17"/>
  <c r="B27" i="20" s="1"/>
  <c r="B19" i="17"/>
  <c r="B30" i="20" s="1"/>
  <c r="B20" i="17"/>
  <c r="B33" i="20" s="1"/>
  <c r="B21" i="17"/>
  <c r="B36" i="20" s="1"/>
  <c r="B14" i="17"/>
  <c r="B15" i="20" s="1"/>
  <c r="AQ46" i="20"/>
  <c r="AQ55" i="20" s="1"/>
  <c r="AP46" i="20"/>
  <c r="AO46" i="20"/>
  <c r="AP56" i="20" s="1"/>
  <c r="AI46" i="20"/>
  <c r="AH46" i="20"/>
  <c r="AG46" i="20"/>
  <c r="AH56" i="20" s="1"/>
  <c r="AF46" i="20"/>
  <c r="AF55" i="20" s="1"/>
  <c r="AE46" i="20"/>
  <c r="AD46" i="20"/>
  <c r="AD55" i="20" s="1"/>
  <c r="AC46" i="20"/>
  <c r="AB46" i="20"/>
  <c r="AB55" i="20" s="1"/>
  <c r="AA46" i="20"/>
  <c r="Z46" i="20"/>
  <c r="Y46" i="20"/>
  <c r="Z56" i="20" s="1"/>
  <c r="X46" i="20"/>
  <c r="W46" i="20"/>
  <c r="W55" i="20" s="1"/>
  <c r="V46" i="20"/>
  <c r="V55" i="20" s="1"/>
  <c r="U46" i="20"/>
  <c r="T46" i="20"/>
  <c r="T55" i="20" s="1"/>
  <c r="S46" i="20"/>
  <c r="R46" i="20"/>
  <c r="Q46" i="20"/>
  <c r="Q55" i="20" s="1"/>
  <c r="P46" i="20"/>
  <c r="P55" i="20" s="1"/>
  <c r="O46" i="20"/>
  <c r="N46" i="20"/>
  <c r="N55" i="20" s="1"/>
  <c r="M46" i="20"/>
  <c r="L46" i="20"/>
  <c r="M56" i="20" s="1"/>
  <c r="K46" i="20"/>
  <c r="K55" i="20" s="1"/>
  <c r="J46" i="20"/>
  <c r="I46" i="20"/>
  <c r="H46" i="20"/>
  <c r="H48" i="20" s="1"/>
  <c r="B24" i="20"/>
  <c r="A10" i="20"/>
  <c r="AC56" i="20"/>
  <c r="X56" i="20"/>
  <c r="U56" i="20"/>
  <c r="I56" i="20"/>
  <c r="H56" i="20"/>
  <c r="L55" i="20"/>
  <c r="H52" i="20"/>
  <c r="G48" i="20"/>
  <c r="J58" i="20" s="1"/>
  <c r="F48" i="20"/>
  <c r="I58" i="20" s="1"/>
  <c r="E48" i="20"/>
  <c r="H58" i="20" s="1"/>
  <c r="O55" i="20"/>
  <c r="G42" i="20"/>
  <c r="F42" i="20"/>
  <c r="E42" i="20"/>
  <c r="Q56" i="20" l="1"/>
  <c r="H55" i="20"/>
  <c r="AG56" i="20"/>
  <c r="AG55" i="20"/>
  <c r="L56" i="20"/>
  <c r="R56" i="20"/>
  <c r="X55" i="20"/>
  <c r="Y56" i="20"/>
  <c r="J56" i="20"/>
  <c r="I55" i="20"/>
  <c r="T56" i="20"/>
  <c r="S55" i="20"/>
  <c r="AA55" i="20"/>
  <c r="AB56" i="20"/>
  <c r="AJ56" i="20"/>
  <c r="AI55" i="20"/>
  <c r="M55" i="20"/>
  <c r="N56" i="20"/>
  <c r="U55" i="20"/>
  <c r="V56" i="20"/>
  <c r="AC55" i="20"/>
  <c r="AD56" i="20"/>
  <c r="O56" i="20"/>
  <c r="H57" i="20"/>
  <c r="P56" i="20"/>
  <c r="I57" i="20"/>
  <c r="AE55" i="20"/>
  <c r="AF56" i="20"/>
  <c r="K58" i="20"/>
  <c r="J57" i="20"/>
  <c r="Y55" i="20"/>
  <c r="AO55" i="20"/>
  <c r="AE56" i="20"/>
  <c r="S56" i="20"/>
  <c r="R55" i="20"/>
  <c r="AA56" i="20"/>
  <c r="Z55" i="20"/>
  <c r="AI56" i="20"/>
  <c r="AH55" i="20"/>
  <c r="AQ56" i="20"/>
  <c r="AP55" i="20"/>
  <c r="W56" i="20"/>
  <c r="D36" i="20" l="1"/>
  <c r="D33" i="20"/>
  <c r="D30" i="20"/>
  <c r="D27" i="20"/>
  <c r="D24" i="20"/>
  <c r="D21" i="20"/>
  <c r="D18" i="20"/>
  <c r="D15" i="20"/>
  <c r="D34" i="20"/>
  <c r="D19" i="20"/>
  <c r="D16" i="20"/>
  <c r="D31" i="20"/>
  <c r="D28" i="20"/>
  <c r="D25" i="20"/>
  <c r="E16" i="19"/>
  <c r="F16" i="19" s="1"/>
  <c r="D37" i="20"/>
  <c r="D22" i="20"/>
  <c r="AA24" i="20" l="1"/>
  <c r="AF24" i="20"/>
  <c r="AF25" i="20" s="1"/>
  <c r="AF26" i="20" s="1"/>
  <c r="AM24" i="20"/>
  <c r="AM25" i="20" s="1"/>
  <c r="AM26" i="20" s="1"/>
  <c r="N24" i="20"/>
  <c r="N25" i="20" s="1"/>
  <c r="N26" i="20" s="1"/>
  <c r="AE24" i="20"/>
  <c r="AE25" i="20" s="1"/>
  <c r="AE26" i="20" s="1"/>
  <c r="S24" i="20"/>
  <c r="S25" i="20" s="1"/>
  <c r="S26" i="20" s="1"/>
  <c r="M24" i="20"/>
  <c r="M25" i="20" s="1"/>
  <c r="M26" i="20" s="1"/>
  <c r="F24" i="20"/>
  <c r="K24" i="20"/>
  <c r="K25" i="20" s="1"/>
  <c r="K26" i="20" s="1"/>
  <c r="E24" i="20"/>
  <c r="E25" i="20" s="1"/>
  <c r="E26" i="20" s="1"/>
  <c r="AI24" i="20"/>
  <c r="W24" i="20"/>
  <c r="W25" i="20" s="1"/>
  <c r="W26" i="20" s="1"/>
  <c r="R24" i="20"/>
  <c r="R25" i="20" s="1"/>
  <c r="R26" i="20" s="1"/>
  <c r="X24" i="20"/>
  <c r="X25" i="20" s="1"/>
  <c r="X26" i="20" s="1"/>
  <c r="L24" i="20"/>
  <c r="J24" i="20"/>
  <c r="J25" i="20" s="1"/>
  <c r="J26" i="20" s="1"/>
  <c r="AO24" i="20"/>
  <c r="AO25" i="20" s="1"/>
  <c r="AO26" i="20" s="1"/>
  <c r="O24" i="20"/>
  <c r="AC24" i="20"/>
  <c r="AC25" i="20" s="1"/>
  <c r="AC26" i="20" s="1"/>
  <c r="AJ24" i="20"/>
  <c r="AJ25" i="20" s="1"/>
  <c r="AJ26" i="20" s="1"/>
  <c r="Z24" i="20"/>
  <c r="Z25" i="20" s="1"/>
  <c r="Z26" i="20" s="1"/>
  <c r="AK24" i="20"/>
  <c r="AK25" i="20" s="1"/>
  <c r="AK26" i="20" s="1"/>
  <c r="AH24" i="20"/>
  <c r="AH25" i="20" s="1"/>
  <c r="AH26" i="20" s="1"/>
  <c r="AG24" i="20"/>
  <c r="AG25" i="20" s="1"/>
  <c r="AG26" i="20" s="1"/>
  <c r="G24" i="20"/>
  <c r="G25" i="20" s="1"/>
  <c r="G26" i="20" s="1"/>
  <c r="AQ24" i="20"/>
  <c r="AQ25" i="20" s="1"/>
  <c r="AQ26" i="20" s="1"/>
  <c r="AP24" i="20"/>
  <c r="AP25" i="20" s="1"/>
  <c r="AP26" i="20" s="1"/>
  <c r="T24" i="20"/>
  <c r="T25" i="20" s="1"/>
  <c r="T26" i="20" s="1"/>
  <c r="Y24" i="20"/>
  <c r="Y25" i="20" s="1"/>
  <c r="Y26" i="20" s="1"/>
  <c r="AL24" i="20"/>
  <c r="AL25" i="20" s="1"/>
  <c r="AL26" i="20" s="1"/>
  <c r="AN24" i="20"/>
  <c r="AN25" i="20" s="1"/>
  <c r="AN26" i="20" s="1"/>
  <c r="H24" i="20"/>
  <c r="H25" i="20" s="1"/>
  <c r="H26" i="20" s="1"/>
  <c r="P24" i="20"/>
  <c r="P25" i="20" s="1"/>
  <c r="P26" i="20" s="1"/>
  <c r="Q24" i="20"/>
  <c r="Q25" i="20" s="1"/>
  <c r="Q26" i="20" s="1"/>
  <c r="AD24" i="20"/>
  <c r="AB24" i="20"/>
  <c r="AB25" i="20" s="1"/>
  <c r="AB26" i="20" s="1"/>
  <c r="I24" i="20"/>
  <c r="I25" i="20" s="1"/>
  <c r="I26" i="20" s="1"/>
  <c r="V24" i="20"/>
  <c r="V25" i="20" s="1"/>
  <c r="V26" i="20" s="1"/>
  <c r="U24" i="20"/>
  <c r="U25" i="20" s="1"/>
  <c r="U26" i="20" s="1"/>
  <c r="Q30" i="20"/>
  <c r="Q31" i="20" s="1"/>
  <c r="Q32" i="20" s="1"/>
  <c r="AA30" i="20"/>
  <c r="AA31" i="20" s="1"/>
  <c r="AA32" i="20" s="1"/>
  <c r="AN30" i="20"/>
  <c r="AN31" i="20" s="1"/>
  <c r="AN32" i="20" s="1"/>
  <c r="N30" i="20"/>
  <c r="N31" i="20" s="1"/>
  <c r="N32" i="20" s="1"/>
  <c r="AB30" i="20"/>
  <c r="AB31" i="20" s="1"/>
  <c r="AB32" i="20" s="1"/>
  <c r="H30" i="20"/>
  <c r="H31" i="20" s="1"/>
  <c r="H32" i="20" s="1"/>
  <c r="AK30" i="20"/>
  <c r="S30" i="20"/>
  <c r="S31" i="20" s="1"/>
  <c r="S32" i="20" s="1"/>
  <c r="AJ30" i="20"/>
  <c r="AJ31" i="20" s="1"/>
  <c r="AJ32" i="20" s="1"/>
  <c r="F30" i="20"/>
  <c r="AC30" i="20"/>
  <c r="AC31" i="20" s="1"/>
  <c r="AC32" i="20" s="1"/>
  <c r="K30" i="20"/>
  <c r="K31" i="20" s="1"/>
  <c r="K32" i="20" s="1"/>
  <c r="O30" i="20"/>
  <c r="O31" i="20" s="1"/>
  <c r="O32" i="20" s="1"/>
  <c r="W30" i="20"/>
  <c r="W31" i="20" s="1"/>
  <c r="W32" i="20" s="1"/>
  <c r="U30" i="20"/>
  <c r="U31" i="20" s="1"/>
  <c r="U32" i="20" s="1"/>
  <c r="AP30" i="20"/>
  <c r="AP31" i="20" s="1"/>
  <c r="AP32" i="20" s="1"/>
  <c r="AL30" i="20"/>
  <c r="AL31" i="20" s="1"/>
  <c r="AL32" i="20" s="1"/>
  <c r="I30" i="20"/>
  <c r="I31" i="20" s="1"/>
  <c r="I32" i="20" s="1"/>
  <c r="P30" i="20"/>
  <c r="AO30" i="20"/>
  <c r="AO31" i="20" s="1"/>
  <c r="AO32" i="20" s="1"/>
  <c r="M30" i="20"/>
  <c r="M31" i="20" s="1"/>
  <c r="M32" i="20" s="1"/>
  <c r="AH30" i="20"/>
  <c r="AH31" i="20" s="1"/>
  <c r="AH32" i="20" s="1"/>
  <c r="X30" i="20"/>
  <c r="X31" i="20" s="1"/>
  <c r="X32" i="20" s="1"/>
  <c r="AF30" i="20"/>
  <c r="AF31" i="20" s="1"/>
  <c r="AF32" i="20" s="1"/>
  <c r="AE30" i="20"/>
  <c r="AE31" i="20" s="1"/>
  <c r="AE32" i="20" s="1"/>
  <c r="E30" i="20"/>
  <c r="E31" i="20" s="1"/>
  <c r="E32" i="20" s="1"/>
  <c r="Z30" i="20"/>
  <c r="Z31" i="20" s="1"/>
  <c r="Z32" i="20" s="1"/>
  <c r="L30" i="20"/>
  <c r="L31" i="20" s="1"/>
  <c r="L32" i="20" s="1"/>
  <c r="T30" i="20"/>
  <c r="T31" i="20" s="1"/>
  <c r="T32" i="20" s="1"/>
  <c r="AD30" i="20"/>
  <c r="AD31" i="20" s="1"/>
  <c r="AD32" i="20" s="1"/>
  <c r="AQ30" i="20"/>
  <c r="AQ31" i="20" s="1"/>
  <c r="AQ32" i="20" s="1"/>
  <c r="R30" i="20"/>
  <c r="R31" i="20" s="1"/>
  <c r="R32" i="20" s="1"/>
  <c r="AM30" i="20"/>
  <c r="AM31" i="20" s="1"/>
  <c r="AM32" i="20" s="1"/>
  <c r="G30" i="20"/>
  <c r="G31" i="20" s="1"/>
  <c r="G32" i="20" s="1"/>
  <c r="J30" i="20"/>
  <c r="J31" i="20" s="1"/>
  <c r="J32" i="20" s="1"/>
  <c r="Y30" i="20"/>
  <c r="V30" i="20"/>
  <c r="V31" i="20" s="1"/>
  <c r="V32" i="20" s="1"/>
  <c r="AG30" i="20"/>
  <c r="AG31" i="20" s="1"/>
  <c r="AG32" i="20" s="1"/>
  <c r="AI30" i="20"/>
  <c r="AI31" i="20" s="1"/>
  <c r="AI32" i="20" s="1"/>
  <c r="L36" i="20"/>
  <c r="L37" i="20" s="1"/>
  <c r="L38" i="20" s="1"/>
  <c r="K36" i="20"/>
  <c r="K37" i="20" s="1"/>
  <c r="K38" i="20" s="1"/>
  <c r="AP36" i="20"/>
  <c r="AP37" i="20" s="1"/>
  <c r="AP38" i="20" s="1"/>
  <c r="AO36" i="20"/>
  <c r="AO37" i="20" s="1"/>
  <c r="AO38" i="20" s="1"/>
  <c r="O36" i="20"/>
  <c r="O37" i="20" s="1"/>
  <c r="O38" i="20" s="1"/>
  <c r="AC36" i="20"/>
  <c r="AC37" i="20" s="1"/>
  <c r="AC38" i="20" s="1"/>
  <c r="E36" i="20"/>
  <c r="E37" i="20" s="1"/>
  <c r="E38" i="20" s="1"/>
  <c r="X36" i="20"/>
  <c r="X37" i="20" s="1"/>
  <c r="X38" i="20" s="1"/>
  <c r="AG36" i="20"/>
  <c r="AG37" i="20" s="1"/>
  <c r="AG38" i="20" s="1"/>
  <c r="G36" i="20"/>
  <c r="G37" i="20" s="1"/>
  <c r="G38" i="20" s="1"/>
  <c r="S36" i="20"/>
  <c r="S37" i="20" s="1"/>
  <c r="S38" i="20" s="1"/>
  <c r="J36" i="20"/>
  <c r="J37" i="20" s="1"/>
  <c r="J38" i="20" s="1"/>
  <c r="AQ36" i="20"/>
  <c r="AK36" i="20"/>
  <c r="H36" i="20"/>
  <c r="H37" i="20" s="1"/>
  <c r="H38" i="20" s="1"/>
  <c r="AJ36" i="20"/>
  <c r="M36" i="20"/>
  <c r="M37" i="20" s="1"/>
  <c r="M38" i="20" s="1"/>
  <c r="Y36" i="20"/>
  <c r="Y37" i="20" s="1"/>
  <c r="Y38" i="20" s="1"/>
  <c r="AL36" i="20"/>
  <c r="AF36" i="20"/>
  <c r="AF37" i="20" s="1"/>
  <c r="AF38" i="20" s="1"/>
  <c r="AI36" i="20"/>
  <c r="AI37" i="20" s="1"/>
  <c r="AI38" i="20" s="1"/>
  <c r="AA36" i="20"/>
  <c r="Q36" i="20"/>
  <c r="Q37" i="20" s="1"/>
  <c r="Q38" i="20" s="1"/>
  <c r="AD36" i="20"/>
  <c r="AD37" i="20" s="1"/>
  <c r="AD38" i="20" s="1"/>
  <c r="P36" i="20"/>
  <c r="P37" i="20" s="1"/>
  <c r="P38" i="20" s="1"/>
  <c r="AH36" i="20"/>
  <c r="AH37" i="20" s="1"/>
  <c r="AH38" i="20" s="1"/>
  <c r="AN36" i="20"/>
  <c r="AN37" i="20" s="1"/>
  <c r="AN38" i="20" s="1"/>
  <c r="I36" i="20"/>
  <c r="I37" i="20" s="1"/>
  <c r="I38" i="20" s="1"/>
  <c r="V36" i="20"/>
  <c r="V37" i="20" s="1"/>
  <c r="V38" i="20" s="1"/>
  <c r="Z36" i="20"/>
  <c r="Z37" i="20" s="1"/>
  <c r="Z38" i="20" s="1"/>
  <c r="AM36" i="20"/>
  <c r="AM37" i="20" s="1"/>
  <c r="AM38" i="20" s="1"/>
  <c r="N36" i="20"/>
  <c r="N37" i="20" s="1"/>
  <c r="N38" i="20" s="1"/>
  <c r="U36" i="20"/>
  <c r="U37" i="20" s="1"/>
  <c r="U38" i="20" s="1"/>
  <c r="AE36" i="20"/>
  <c r="AE37" i="20" s="1"/>
  <c r="AE38" i="20" s="1"/>
  <c r="F36" i="20"/>
  <c r="T36" i="20"/>
  <c r="AB36" i="20"/>
  <c r="AB37" i="20" s="1"/>
  <c r="AB38" i="20" s="1"/>
  <c r="R36" i="20"/>
  <c r="R37" i="20" s="1"/>
  <c r="R38" i="20" s="1"/>
  <c r="W36" i="20"/>
  <c r="W37" i="20" s="1"/>
  <c r="W38" i="20" s="1"/>
  <c r="V27" i="20"/>
  <c r="V28" i="20" s="1"/>
  <c r="V29" i="20" s="1"/>
  <c r="AA27" i="20"/>
  <c r="AA28" i="20" s="1"/>
  <c r="AA29" i="20" s="1"/>
  <c r="Q27" i="20"/>
  <c r="Q28" i="20" s="1"/>
  <c r="Q29" i="20" s="1"/>
  <c r="O27" i="20"/>
  <c r="AO27" i="20"/>
  <c r="AD27" i="20"/>
  <c r="AD28" i="20" s="1"/>
  <c r="AD29" i="20" s="1"/>
  <c r="N27" i="20"/>
  <c r="N28" i="20" s="1"/>
  <c r="N29" i="20" s="1"/>
  <c r="E27" i="20"/>
  <c r="E28" i="20" s="1"/>
  <c r="E29" i="20" s="1"/>
  <c r="W27" i="20"/>
  <c r="W28" i="20" s="1"/>
  <c r="W29" i="20" s="1"/>
  <c r="J27" i="20"/>
  <c r="AP27" i="20"/>
  <c r="M27" i="20"/>
  <c r="AE27" i="20"/>
  <c r="AN27" i="20"/>
  <c r="I27" i="20"/>
  <c r="I28" i="20" s="1"/>
  <c r="I29" i="20" s="1"/>
  <c r="L27" i="20"/>
  <c r="U27" i="20"/>
  <c r="AI27" i="20"/>
  <c r="AI28" i="20" s="1"/>
  <c r="AI29" i="20" s="1"/>
  <c r="F27" i="20"/>
  <c r="F28" i="20" s="1"/>
  <c r="F29" i="20" s="1"/>
  <c r="T27" i="20"/>
  <c r="T28" i="20" s="1"/>
  <c r="T29" i="20" s="1"/>
  <c r="AC27" i="20"/>
  <c r="AC28" i="20" s="1"/>
  <c r="AC29" i="20" s="1"/>
  <c r="AH27" i="20"/>
  <c r="AH28" i="20" s="1"/>
  <c r="AH29" i="20" s="1"/>
  <c r="K27" i="20"/>
  <c r="K28" i="20" s="1"/>
  <c r="K29" i="20" s="1"/>
  <c r="R27" i="20"/>
  <c r="R28" i="20" s="1"/>
  <c r="R29" i="20" s="1"/>
  <c r="H27" i="20"/>
  <c r="H28" i="20" s="1"/>
  <c r="H29" i="20" s="1"/>
  <c r="AB27" i="20"/>
  <c r="AK27" i="20"/>
  <c r="AK28" i="20" s="1"/>
  <c r="AK29" i="20" s="1"/>
  <c r="Z27" i="20"/>
  <c r="Z28" i="20" s="1"/>
  <c r="Z29" i="20" s="1"/>
  <c r="Y27" i="20"/>
  <c r="Y28" i="20" s="1"/>
  <c r="Y29" i="20" s="1"/>
  <c r="AF27" i="20"/>
  <c r="S27" i="20"/>
  <c r="S28" i="20" s="1"/>
  <c r="S29" i="20" s="1"/>
  <c r="AJ27" i="20"/>
  <c r="AJ28" i="20" s="1"/>
  <c r="AJ29" i="20" s="1"/>
  <c r="AQ27" i="20"/>
  <c r="AQ28" i="20" s="1"/>
  <c r="AQ29" i="20" s="1"/>
  <c r="AG27" i="20"/>
  <c r="AG28" i="20" s="1"/>
  <c r="AG29" i="20" s="1"/>
  <c r="X27" i="20"/>
  <c r="X28" i="20" s="1"/>
  <c r="X29" i="20" s="1"/>
  <c r="P27" i="20"/>
  <c r="P28" i="20" s="1"/>
  <c r="P29" i="20" s="1"/>
  <c r="G27" i="20"/>
  <c r="G28" i="20" s="1"/>
  <c r="G29" i="20" s="1"/>
  <c r="AL27" i="20"/>
  <c r="AL28" i="20" s="1"/>
  <c r="AL29" i="20" s="1"/>
  <c r="AM27" i="20"/>
  <c r="AM28" i="20" s="1"/>
  <c r="AM29" i="20" s="1"/>
  <c r="M33" i="20"/>
  <c r="W33" i="20"/>
  <c r="W34" i="20" s="1"/>
  <c r="W35" i="20" s="1"/>
  <c r="AQ33" i="20"/>
  <c r="AQ34" i="20" s="1"/>
  <c r="AQ35" i="20" s="1"/>
  <c r="Q33" i="20"/>
  <c r="Q34" i="20" s="1"/>
  <c r="Q35" i="20" s="1"/>
  <c r="V33" i="20"/>
  <c r="AD33" i="20"/>
  <c r="AI33" i="20"/>
  <c r="AI34" i="20" s="1"/>
  <c r="AI35" i="20" s="1"/>
  <c r="J33" i="20"/>
  <c r="J34" i="20" s="1"/>
  <c r="J35" i="20" s="1"/>
  <c r="L33" i="20"/>
  <c r="L34" i="20" s="1"/>
  <c r="L35" i="20" s="1"/>
  <c r="I33" i="20"/>
  <c r="I34" i="20" s="1"/>
  <c r="I35" i="20" s="1"/>
  <c r="R33" i="20"/>
  <c r="R34" i="20" s="1"/>
  <c r="R35" i="20" s="1"/>
  <c r="AA33" i="20"/>
  <c r="AA34" i="20" s="1"/>
  <c r="AA35" i="20" s="1"/>
  <c r="AN33" i="20"/>
  <c r="AN34" i="20" s="1"/>
  <c r="AN35" i="20" s="1"/>
  <c r="AE33" i="20"/>
  <c r="AE34" i="20" s="1"/>
  <c r="AE35" i="20" s="1"/>
  <c r="E33" i="20"/>
  <c r="E34" i="20" s="1"/>
  <c r="E35" i="20" s="1"/>
  <c r="AK33" i="20"/>
  <c r="S33" i="20"/>
  <c r="S34" i="20" s="1"/>
  <c r="S35" i="20" s="1"/>
  <c r="AF33" i="20"/>
  <c r="AF34" i="20" s="1"/>
  <c r="AF35" i="20" s="1"/>
  <c r="T33" i="20"/>
  <c r="T34" i="20" s="1"/>
  <c r="T35" i="20" s="1"/>
  <c r="AM33" i="20"/>
  <c r="AM34" i="20" s="1"/>
  <c r="AM35" i="20" s="1"/>
  <c r="AP33" i="20"/>
  <c r="AP34" i="20" s="1"/>
  <c r="AP35" i="20" s="1"/>
  <c r="K33" i="20"/>
  <c r="K34" i="20" s="1"/>
  <c r="K35" i="20" s="1"/>
  <c r="X33" i="20"/>
  <c r="X34" i="20" s="1"/>
  <c r="X35" i="20" s="1"/>
  <c r="F33" i="20"/>
  <c r="AB33" i="20"/>
  <c r="AC33" i="20"/>
  <c r="AO33" i="20"/>
  <c r="AO34" i="20" s="1"/>
  <c r="AO35" i="20" s="1"/>
  <c r="P33" i="20"/>
  <c r="AH33" i="20"/>
  <c r="AH34" i="20" s="1"/>
  <c r="AH35" i="20" s="1"/>
  <c r="N33" i="20"/>
  <c r="Z33" i="20"/>
  <c r="Z34" i="20" s="1"/>
  <c r="Z35" i="20" s="1"/>
  <c r="AG33" i="20"/>
  <c r="AG34" i="20" s="1"/>
  <c r="AG35" i="20" s="1"/>
  <c r="H33" i="20"/>
  <c r="H34" i="20" s="1"/>
  <c r="H35" i="20" s="1"/>
  <c r="U33" i="20"/>
  <c r="U34" i="20" s="1"/>
  <c r="U35" i="20" s="1"/>
  <c r="AL33" i="20"/>
  <c r="AL34" i="20" s="1"/>
  <c r="AL35" i="20" s="1"/>
  <c r="Y33" i="20"/>
  <c r="Y34" i="20" s="1"/>
  <c r="Y35" i="20" s="1"/>
  <c r="G33" i="20"/>
  <c r="G34" i="20" s="1"/>
  <c r="G35" i="20" s="1"/>
  <c r="O33" i="20"/>
  <c r="O34" i="20" s="1"/>
  <c r="O35" i="20" s="1"/>
  <c r="AJ33" i="20"/>
  <c r="AJ34" i="20" s="1"/>
  <c r="AJ35" i="20" s="1"/>
  <c r="AD15" i="20"/>
  <c r="AD16" i="20" s="1"/>
  <c r="AI15" i="20"/>
  <c r="AI16" i="20" s="1"/>
  <c r="I15" i="20"/>
  <c r="I16" i="20" s="1"/>
  <c r="L15" i="20"/>
  <c r="AK15" i="20"/>
  <c r="AK16" i="20" s="1"/>
  <c r="AM15" i="20"/>
  <c r="AM16" i="20" s="1"/>
  <c r="X15" i="20"/>
  <c r="X16" i="20" s="1"/>
  <c r="Q15" i="20"/>
  <c r="Q16" i="20" s="1"/>
  <c r="AQ15" i="20"/>
  <c r="AQ16" i="20" s="1"/>
  <c r="AB15" i="20"/>
  <c r="AP15" i="20"/>
  <c r="AP16" i="20" s="1"/>
  <c r="J15" i="20"/>
  <c r="J16" i="20" s="1"/>
  <c r="AF15" i="20"/>
  <c r="AF16" i="20" s="1"/>
  <c r="AJ15" i="20"/>
  <c r="AO15" i="20"/>
  <c r="AO16" i="20" s="1"/>
  <c r="AH15" i="20"/>
  <c r="R15" i="20"/>
  <c r="T15" i="20"/>
  <c r="T16" i="20" s="1"/>
  <c r="G15" i="20"/>
  <c r="E15" i="20"/>
  <c r="E16" i="20" s="1"/>
  <c r="AA15" i="20"/>
  <c r="AA16" i="20" s="1"/>
  <c r="V15" i="20"/>
  <c r="F15" i="20"/>
  <c r="F16" i="20" s="1"/>
  <c r="O15" i="20"/>
  <c r="O16" i="20" s="1"/>
  <c r="S15" i="20"/>
  <c r="S16" i="20" s="1"/>
  <c r="AN15" i="20"/>
  <c r="AN16" i="20" s="1"/>
  <c r="AL15" i="20"/>
  <c r="AL16" i="20" s="1"/>
  <c r="AG15" i="20"/>
  <c r="AG16" i="20" s="1"/>
  <c r="M15" i="20"/>
  <c r="M16" i="20" s="1"/>
  <c r="W15" i="20"/>
  <c r="W16" i="20" s="1"/>
  <c r="P15" i="20"/>
  <c r="Z15" i="20"/>
  <c r="Z16" i="20" s="1"/>
  <c r="Y15" i="20"/>
  <c r="Y16" i="20" s="1"/>
  <c r="U15" i="20"/>
  <c r="U16" i="20" s="1"/>
  <c r="AE15" i="20"/>
  <c r="AE16" i="20" s="1"/>
  <c r="H15" i="20"/>
  <c r="H16" i="20" s="1"/>
  <c r="N15" i="20"/>
  <c r="N16" i="20" s="1"/>
  <c r="K15" i="20"/>
  <c r="K16" i="20" s="1"/>
  <c r="AC15" i="20"/>
  <c r="AC16" i="20" s="1"/>
  <c r="AM18" i="20"/>
  <c r="L18" i="20"/>
  <c r="AC18" i="20"/>
  <c r="K18" i="20"/>
  <c r="K19" i="20" s="1"/>
  <c r="K20" i="20" s="1"/>
  <c r="N18" i="20"/>
  <c r="N19" i="20" s="1"/>
  <c r="N20" i="20" s="1"/>
  <c r="U18" i="20"/>
  <c r="AN18" i="20"/>
  <c r="I18" i="20"/>
  <c r="I19" i="20" s="1"/>
  <c r="I20" i="20" s="1"/>
  <c r="Z18" i="20"/>
  <c r="AL18" i="20"/>
  <c r="AL19" i="20" s="1"/>
  <c r="AL20" i="20" s="1"/>
  <c r="Y18" i="20"/>
  <c r="Y19" i="20" s="1"/>
  <c r="Y20" i="20" s="1"/>
  <c r="M18" i="20"/>
  <c r="AP18" i="20"/>
  <c r="P18" i="20"/>
  <c r="P19" i="20" s="1"/>
  <c r="P20" i="20" s="1"/>
  <c r="AJ18" i="20"/>
  <c r="AJ19" i="20" s="1"/>
  <c r="AJ20" i="20" s="1"/>
  <c r="E18" i="20"/>
  <c r="E19" i="20" s="1"/>
  <c r="E20" i="20" s="1"/>
  <c r="AH18" i="20"/>
  <c r="AH19" i="20" s="1"/>
  <c r="AH20" i="20" s="1"/>
  <c r="AO18" i="20"/>
  <c r="AB18" i="20"/>
  <c r="AQ18" i="20"/>
  <c r="AQ19" i="20" s="1"/>
  <c r="AQ20" i="20" s="1"/>
  <c r="R18" i="20"/>
  <c r="R19" i="20" s="1"/>
  <c r="R20" i="20" s="1"/>
  <c r="G18" i="20"/>
  <c r="F18" i="20"/>
  <c r="F19" i="20" s="1"/>
  <c r="F20" i="20" s="1"/>
  <c r="X18" i="20"/>
  <c r="X19" i="20" s="1"/>
  <c r="X20" i="20" s="1"/>
  <c r="AI18" i="20"/>
  <c r="AI19" i="20" s="1"/>
  <c r="AI20" i="20" s="1"/>
  <c r="J18" i="20"/>
  <c r="T18" i="20"/>
  <c r="T19" i="20" s="1"/>
  <c r="T20" i="20" s="1"/>
  <c r="Q18" i="20"/>
  <c r="H18" i="20"/>
  <c r="W18" i="20"/>
  <c r="AA18" i="20"/>
  <c r="AA19" i="20" s="1"/>
  <c r="AA20" i="20" s="1"/>
  <c r="AD18" i="20"/>
  <c r="AF18" i="20"/>
  <c r="AF19" i="20" s="1"/>
  <c r="AF20" i="20" s="1"/>
  <c r="AE18" i="20"/>
  <c r="AE19" i="20" s="1"/>
  <c r="AE20" i="20" s="1"/>
  <c r="V18" i="20"/>
  <c r="V19" i="20" s="1"/>
  <c r="V20" i="20" s="1"/>
  <c r="AK18" i="20"/>
  <c r="AG18" i="20"/>
  <c r="AG19" i="20" s="1"/>
  <c r="AG20" i="20" s="1"/>
  <c r="O18" i="20"/>
  <c r="S18" i="20"/>
  <c r="S19" i="20" s="1"/>
  <c r="S20" i="20" s="1"/>
  <c r="AD21" i="20"/>
  <c r="AD22" i="20" s="1"/>
  <c r="AD23" i="20" s="1"/>
  <c r="L21" i="20"/>
  <c r="AB21" i="20"/>
  <c r="AQ21" i="20"/>
  <c r="AQ22" i="20" s="1"/>
  <c r="AQ23" i="20" s="1"/>
  <c r="Q21" i="20"/>
  <c r="AC21" i="20"/>
  <c r="AI21" i="20"/>
  <c r="AI22" i="20" s="1"/>
  <c r="AI23" i="20" s="1"/>
  <c r="AP21" i="20"/>
  <c r="Z21" i="20"/>
  <c r="Z22" i="20" s="1"/>
  <c r="Z23" i="20" s="1"/>
  <c r="J21" i="20"/>
  <c r="J22" i="20" s="1"/>
  <c r="J23" i="20" s="1"/>
  <c r="I21" i="20"/>
  <c r="I22" i="20" s="1"/>
  <c r="I23" i="20" s="1"/>
  <c r="AM21" i="20"/>
  <c r="W21" i="20"/>
  <c r="W22" i="20" s="1"/>
  <c r="W23" i="20" s="1"/>
  <c r="G21" i="20"/>
  <c r="G22" i="20" s="1"/>
  <c r="G23" i="20" s="1"/>
  <c r="AA21" i="20"/>
  <c r="AA22" i="20" s="1"/>
  <c r="AA23" i="20" s="1"/>
  <c r="AN21" i="20"/>
  <c r="AL21" i="20"/>
  <c r="V21" i="20"/>
  <c r="V22" i="20" s="1"/>
  <c r="V23" i="20" s="1"/>
  <c r="F21" i="20"/>
  <c r="F22" i="20" s="1"/>
  <c r="F23" i="20" s="1"/>
  <c r="S21" i="20"/>
  <c r="S22" i="20" s="1"/>
  <c r="S23" i="20" s="1"/>
  <c r="AF21" i="20"/>
  <c r="AK21" i="20"/>
  <c r="AK22" i="20" s="1"/>
  <c r="AK23" i="20" s="1"/>
  <c r="U21" i="20"/>
  <c r="U22" i="20" s="1"/>
  <c r="U23" i="20" s="1"/>
  <c r="E21" i="20"/>
  <c r="K21" i="20"/>
  <c r="K22" i="20" s="1"/>
  <c r="K23" i="20" s="1"/>
  <c r="X21" i="20"/>
  <c r="X22" i="20" s="1"/>
  <c r="X23" i="20" s="1"/>
  <c r="AJ21" i="20"/>
  <c r="AJ22" i="20" s="1"/>
  <c r="AJ23" i="20" s="1"/>
  <c r="T21" i="20"/>
  <c r="AO21" i="20"/>
  <c r="AO22" i="20" s="1"/>
  <c r="AO23" i="20" s="1"/>
  <c r="P21" i="20"/>
  <c r="P22" i="20" s="1"/>
  <c r="P23" i="20" s="1"/>
  <c r="AH21" i="20"/>
  <c r="R21" i="20"/>
  <c r="R22" i="20" s="1"/>
  <c r="R23" i="20" s="1"/>
  <c r="AG21" i="20"/>
  <c r="H21" i="20"/>
  <c r="O21" i="20"/>
  <c r="O22" i="20" s="1"/>
  <c r="O23" i="20" s="1"/>
  <c r="M21" i="20"/>
  <c r="M22" i="20" s="1"/>
  <c r="M23" i="20" s="1"/>
  <c r="Y21" i="20"/>
  <c r="N21" i="20"/>
  <c r="N22" i="20" s="1"/>
  <c r="N23" i="20" s="1"/>
  <c r="AE21" i="20"/>
  <c r="AE22" i="20" s="1"/>
  <c r="AE23" i="20" s="1"/>
  <c r="K40" i="20" l="1"/>
  <c r="S40" i="20"/>
  <c r="X40" i="20"/>
  <c r="I40" i="20"/>
  <c r="AG22" i="20"/>
  <c r="AG40" i="20" s="1"/>
  <c r="AL22" i="20"/>
  <c r="AL23" i="20"/>
  <c r="AN19" i="20"/>
  <c r="K17" i="20"/>
  <c r="K41" i="20" s="1"/>
  <c r="W17" i="20"/>
  <c r="V16" i="20"/>
  <c r="AJ16" i="20"/>
  <c r="AM17" i="20"/>
  <c r="V34" i="20"/>
  <c r="V35" i="20" s="1"/>
  <c r="AP28" i="20"/>
  <c r="AP29" i="20" s="1"/>
  <c r="F25" i="20"/>
  <c r="E22" i="20"/>
  <c r="AN22" i="20"/>
  <c r="AN23" i="20" s="1"/>
  <c r="AP22" i="20"/>
  <c r="AP23" i="20" s="1"/>
  <c r="O19" i="20"/>
  <c r="W19" i="20"/>
  <c r="G19" i="20"/>
  <c r="G20" i="20" s="1"/>
  <c r="U19" i="20"/>
  <c r="N17" i="20"/>
  <c r="M17" i="20"/>
  <c r="AA17" i="20"/>
  <c r="AF17" i="20"/>
  <c r="AK17" i="20"/>
  <c r="P34" i="20"/>
  <c r="P35" i="20" s="1"/>
  <c r="AB28" i="20"/>
  <c r="AB29" i="20" s="1"/>
  <c r="J28" i="20"/>
  <c r="J29" i="20" s="1"/>
  <c r="L25" i="20"/>
  <c r="L26" i="20" s="1"/>
  <c r="AH22" i="20"/>
  <c r="AH23" i="20" s="1"/>
  <c r="H19" i="20"/>
  <c r="AP19" i="20"/>
  <c r="H17" i="20"/>
  <c r="AG17" i="20"/>
  <c r="E17" i="20"/>
  <c r="J17" i="20"/>
  <c r="L16" i="20"/>
  <c r="U28" i="20"/>
  <c r="U29" i="20" s="1"/>
  <c r="AJ37" i="20"/>
  <c r="AJ38" i="20" s="1"/>
  <c r="AK31" i="20"/>
  <c r="AK32" i="20" s="1"/>
  <c r="AC22" i="20"/>
  <c r="AK19" i="20"/>
  <c r="Q19" i="20"/>
  <c r="M19" i="20"/>
  <c r="AE17" i="20"/>
  <c r="AL17" i="20"/>
  <c r="G16" i="20"/>
  <c r="G40" i="20" s="1"/>
  <c r="AP17" i="20"/>
  <c r="I17" i="20"/>
  <c r="I41" i="20" s="1"/>
  <c r="AC34" i="20"/>
  <c r="AC35" i="20" s="1"/>
  <c r="L28" i="20"/>
  <c r="L29" i="20" s="1"/>
  <c r="Y22" i="20"/>
  <c r="AF22" i="20"/>
  <c r="Q22" i="20"/>
  <c r="Q23" i="20" s="1"/>
  <c r="AB19" i="20"/>
  <c r="AB20" i="20" s="1"/>
  <c r="AC19" i="20"/>
  <c r="U17" i="20"/>
  <c r="AN17" i="20"/>
  <c r="T17" i="20"/>
  <c r="AB16" i="20"/>
  <c r="AI17" i="20"/>
  <c r="AB34" i="20"/>
  <c r="AB35" i="20" s="1"/>
  <c r="M34" i="20"/>
  <c r="M35" i="20" s="1"/>
  <c r="AA37" i="20"/>
  <c r="AA38" i="20" s="1"/>
  <c r="AK37" i="20"/>
  <c r="AK38" i="20" s="1"/>
  <c r="T22" i="20"/>
  <c r="AM22" i="20"/>
  <c r="AM23" i="20" s="1"/>
  <c r="J19" i="20"/>
  <c r="AO19" i="20"/>
  <c r="L19" i="20"/>
  <c r="L20" i="20" s="1"/>
  <c r="Y17" i="20"/>
  <c r="S17" i="20"/>
  <c r="S41" i="20" s="1"/>
  <c r="R16" i="20"/>
  <c r="AQ17" i="20"/>
  <c r="AD17" i="20"/>
  <c r="F34" i="20"/>
  <c r="F35" i="20" s="1"/>
  <c r="AK34" i="20"/>
  <c r="AK35" i="20" s="1"/>
  <c r="AF28" i="20"/>
  <c r="AF29" i="20" s="1"/>
  <c r="AN28" i="20"/>
  <c r="AN29" i="20" s="1"/>
  <c r="AQ37" i="20"/>
  <c r="Y31" i="20"/>
  <c r="Y32" i="20" s="1"/>
  <c r="AD25" i="20"/>
  <c r="AD26" i="20" s="1"/>
  <c r="AI25" i="20"/>
  <c r="AI40" i="20" s="1"/>
  <c r="AB22" i="20"/>
  <c r="AB23" i="20" s="1"/>
  <c r="Z19" i="20"/>
  <c r="AM19" i="20"/>
  <c r="AM40" i="20" s="1"/>
  <c r="Z17" i="20"/>
  <c r="O17" i="20"/>
  <c r="AH16" i="20"/>
  <c r="Q17" i="20"/>
  <c r="AE28" i="20"/>
  <c r="AE40" i="20" s="1"/>
  <c r="AO28" i="20"/>
  <c r="AO29" i="20" s="1"/>
  <c r="T37" i="20"/>
  <c r="T38" i="20" s="1"/>
  <c r="P31" i="20"/>
  <c r="P32" i="20" s="1"/>
  <c r="O25" i="20"/>
  <c r="O26" i="20" s="1"/>
  <c r="H22" i="20"/>
  <c r="H23" i="20" s="1"/>
  <c r="L22" i="20"/>
  <c r="L23" i="20" s="1"/>
  <c r="AD19" i="20"/>
  <c r="AC17" i="20"/>
  <c r="P16" i="20"/>
  <c r="F17" i="20"/>
  <c r="AO17" i="20"/>
  <c r="X17" i="20"/>
  <c r="X41" i="20" s="1"/>
  <c r="N34" i="20"/>
  <c r="AD34" i="20"/>
  <c r="M28" i="20"/>
  <c r="M29" i="20" s="1"/>
  <c r="O28" i="20"/>
  <c r="O29" i="20" s="1"/>
  <c r="F37" i="20"/>
  <c r="F38" i="20" s="1"/>
  <c r="AL37" i="20"/>
  <c r="F31" i="20"/>
  <c r="F32" i="20" s="1"/>
  <c r="AA25" i="20"/>
  <c r="AA40" i="20" s="1"/>
  <c r="D23" i="3"/>
  <c r="N35" i="20" l="1"/>
  <c r="N40" i="20"/>
  <c r="P17" i="20"/>
  <c r="P41" i="20" s="1"/>
  <c r="P40" i="20"/>
  <c r="AD20" i="20"/>
  <c r="AD40" i="20"/>
  <c r="AH17" i="20"/>
  <c r="AH41" i="20" s="1"/>
  <c r="AH40" i="20"/>
  <c r="Z20" i="20"/>
  <c r="Z41" i="20" s="1"/>
  <c r="Z40" i="20"/>
  <c r="AQ38" i="20"/>
  <c r="AQ40" i="20"/>
  <c r="AQ41" i="20"/>
  <c r="R17" i="20"/>
  <c r="R41" i="20" s="1"/>
  <c r="R40" i="20"/>
  <c r="AO40" i="20"/>
  <c r="J20" i="20"/>
  <c r="J40" i="20"/>
  <c r="T23" i="20"/>
  <c r="T40" i="20"/>
  <c r="AB17" i="20"/>
  <c r="AB41" i="20" s="1"/>
  <c r="AB40" i="20"/>
  <c r="T41" i="20"/>
  <c r="AC20" i="20"/>
  <c r="AC40" i="20"/>
  <c r="AF40" i="20"/>
  <c r="Y23" i="20"/>
  <c r="Y41" i="20" s="1"/>
  <c r="Y40" i="20"/>
  <c r="M20" i="20"/>
  <c r="M40" i="20"/>
  <c r="Q40" i="20"/>
  <c r="AK20" i="20"/>
  <c r="AK40" i="20"/>
  <c r="L17" i="20"/>
  <c r="L41" i="20" s="1"/>
  <c r="L40" i="20"/>
  <c r="J41" i="20"/>
  <c r="AP20" i="20"/>
  <c r="AP41" i="20" s="1"/>
  <c r="AP40" i="20"/>
  <c r="H20" i="20"/>
  <c r="H41" i="20" s="1"/>
  <c r="H40" i="20"/>
  <c r="AK41" i="20"/>
  <c r="M41" i="20"/>
  <c r="N41" i="20"/>
  <c r="U20" i="20"/>
  <c r="U41" i="20" s="1"/>
  <c r="U40" i="20"/>
  <c r="W20" i="20"/>
  <c r="W40" i="20"/>
  <c r="O40" i="20"/>
  <c r="E23" i="20"/>
  <c r="E41" i="20" s="1"/>
  <c r="E40" i="20"/>
  <c r="F26" i="20"/>
  <c r="F41" i="20" s="1"/>
  <c r="F40" i="20"/>
  <c r="AJ40" i="20"/>
  <c r="V17" i="20"/>
  <c r="V41" i="20" s="1"/>
  <c r="V40" i="20"/>
  <c r="W41" i="20"/>
  <c r="AN20" i="20"/>
  <c r="AN41" i="20" s="1"/>
  <c r="AN40" i="20"/>
  <c r="AL40" i="20"/>
  <c r="AO20" i="20"/>
  <c r="AO41" i="20" s="1"/>
  <c r="AA26" i="20"/>
  <c r="AA41" i="20" s="1"/>
  <c r="H61" i="20"/>
  <c r="H64" i="20" s="1"/>
  <c r="I53" i="20" s="1"/>
  <c r="I61" i="20" s="1"/>
  <c r="AL38" i="20"/>
  <c r="AL41" i="20" s="1"/>
  <c r="AM20" i="20"/>
  <c r="AM41" i="20" s="1"/>
  <c r="AD35" i="20"/>
  <c r="AD41" i="20" s="1"/>
  <c r="AE29" i="20"/>
  <c r="AE41" i="20" s="1"/>
  <c r="AI26" i="20"/>
  <c r="AI41" i="20" s="1"/>
  <c r="AF23" i="20"/>
  <c r="AF41" i="20" s="1"/>
  <c r="G17" i="20"/>
  <c r="G41" i="20" s="1"/>
  <c r="Q20" i="20"/>
  <c r="Q41" i="20" s="1"/>
  <c r="AC23" i="20"/>
  <c r="O20" i="20"/>
  <c r="O41" i="20" s="1"/>
  <c r="AJ17" i="20"/>
  <c r="AJ41" i="20" s="1"/>
  <c r="AG23" i="20"/>
  <c r="AG41" i="20" s="1"/>
  <c r="H42" i="20"/>
  <c r="H60" i="20" s="1"/>
  <c r="H63" i="20" s="1"/>
  <c r="I52" i="20" s="1"/>
  <c r="AL29" i="17"/>
  <c r="AM29" i="17"/>
  <c r="AK46" i="20" s="1"/>
  <c r="AN29" i="17"/>
  <c r="AL46" i="20" s="1"/>
  <c r="AO29" i="17"/>
  <c r="AM46" i="20" s="1"/>
  <c r="AP29" i="17"/>
  <c r="AN46" i="20" s="1"/>
  <c r="I28" i="2"/>
  <c r="AC41" i="20" l="1"/>
  <c r="AK55" i="20"/>
  <c r="AL56" i="20"/>
  <c r="AQ30" i="17"/>
  <c r="AR30" i="17"/>
  <c r="AS30" i="17"/>
  <c r="AJ46" i="20"/>
  <c r="AO56" i="20"/>
  <c r="AN55" i="20"/>
  <c r="AN56" i="20"/>
  <c r="AM55" i="20"/>
  <c r="AM56" i="20"/>
  <c r="AL55" i="20"/>
  <c r="I42" i="20"/>
  <c r="I60" i="20" s="1"/>
  <c r="I63" i="20" s="1"/>
  <c r="J52" i="20" s="1"/>
  <c r="I64" i="20"/>
  <c r="J53" i="20" s="1"/>
  <c r="E31" i="17"/>
  <c r="AK56" i="20" l="1"/>
  <c r="AJ55" i="20"/>
  <c r="J42" i="20"/>
  <c r="J60" i="20" s="1"/>
  <c r="J63" i="20" s="1"/>
  <c r="K52" i="20" s="1"/>
  <c r="K14" i="17"/>
  <c r="L14" i="17"/>
  <c r="M14" i="17"/>
  <c r="O14" i="17"/>
  <c r="P14" i="17"/>
  <c r="Q14" i="17"/>
  <c r="S14" i="17"/>
  <c r="T14" i="17"/>
  <c r="U14" i="17"/>
  <c r="W14" i="17"/>
  <c r="X14" i="17"/>
  <c r="Y14" i="17"/>
  <c r="Z14" i="17"/>
  <c r="AA14" i="17"/>
  <c r="AB14" i="17"/>
  <c r="AC14" i="17"/>
  <c r="AD14" i="17"/>
  <c r="AE14" i="17"/>
  <c r="AF14" i="17"/>
  <c r="AG14" i="17"/>
  <c r="AH14" i="17"/>
  <c r="AI14" i="17"/>
  <c r="AJ14" i="17"/>
  <c r="AK14" i="17"/>
  <c r="AL14" i="17"/>
  <c r="AM14" i="17"/>
  <c r="AN14" i="17"/>
  <c r="AO14" i="17"/>
  <c r="AP14" i="17"/>
  <c r="AQ14" i="17"/>
  <c r="AR14" i="17"/>
  <c r="AS14" i="17"/>
  <c r="K15" i="17"/>
  <c r="L15" i="17"/>
  <c r="M15" i="17"/>
  <c r="O15" i="17"/>
  <c r="P15" i="17"/>
  <c r="Q15" i="17"/>
  <c r="R15" i="17"/>
  <c r="S15" i="17"/>
  <c r="T15" i="17"/>
  <c r="W15" i="17"/>
  <c r="X15" i="17"/>
  <c r="Y15" i="17"/>
  <c r="Z15" i="17"/>
  <c r="AA15" i="17"/>
  <c r="AB15" i="17"/>
  <c r="AC15" i="17"/>
  <c r="AD15" i="17"/>
  <c r="AE15" i="17"/>
  <c r="AG15" i="17"/>
  <c r="AH15" i="17"/>
  <c r="AI15" i="17"/>
  <c r="AJ15" i="17"/>
  <c r="AK15" i="17"/>
  <c r="AL15" i="17"/>
  <c r="AM15" i="17"/>
  <c r="AN15" i="17"/>
  <c r="AO15" i="17"/>
  <c r="AP15" i="17"/>
  <c r="AQ15" i="17"/>
  <c r="AR15" i="17"/>
  <c r="AS15" i="17"/>
  <c r="K16" i="17"/>
  <c r="L16" i="17"/>
  <c r="M16" i="17"/>
  <c r="O16" i="17"/>
  <c r="P16" i="17"/>
  <c r="R16" i="17"/>
  <c r="S16" i="17"/>
  <c r="U16" i="17"/>
  <c r="V16" i="17"/>
  <c r="W16" i="17"/>
  <c r="X16" i="17"/>
  <c r="Y16" i="17"/>
  <c r="Z16" i="17"/>
  <c r="AA16" i="17"/>
  <c r="AB16" i="17"/>
  <c r="AC16" i="17"/>
  <c r="AE16" i="17"/>
  <c r="AF16" i="17"/>
  <c r="AG16" i="17"/>
  <c r="AH16" i="17"/>
  <c r="AI16" i="17"/>
  <c r="AJ16" i="17"/>
  <c r="AK16" i="17"/>
  <c r="AL16" i="17"/>
  <c r="AM16" i="17"/>
  <c r="AN16" i="17"/>
  <c r="AO16" i="17"/>
  <c r="AP16" i="17"/>
  <c r="AQ16" i="17"/>
  <c r="AR16" i="17"/>
  <c r="AS16" i="17"/>
  <c r="K17" i="17"/>
  <c r="L17" i="17"/>
  <c r="M17" i="17"/>
  <c r="N17" i="17"/>
  <c r="P17" i="17"/>
  <c r="Q17" i="17"/>
  <c r="R17" i="17"/>
  <c r="S17" i="17"/>
  <c r="T17" i="17"/>
  <c r="U17" i="17"/>
  <c r="V17" i="17"/>
  <c r="W17" i="17"/>
  <c r="X17" i="17"/>
  <c r="Y17" i="17"/>
  <c r="Z17" i="17"/>
  <c r="AB17" i="17"/>
  <c r="AC17" i="17"/>
  <c r="AD17" i="17"/>
  <c r="AE17" i="17"/>
  <c r="AG17" i="17"/>
  <c r="AH17" i="17"/>
  <c r="AI17" i="17"/>
  <c r="AJ17" i="17"/>
  <c r="AK17" i="17"/>
  <c r="AL17" i="17"/>
  <c r="AM17" i="17"/>
  <c r="AN17" i="17"/>
  <c r="AO17" i="17"/>
  <c r="AP17" i="17"/>
  <c r="AQ17" i="17"/>
  <c r="AR17" i="17"/>
  <c r="AS17" i="17"/>
  <c r="G18" i="17"/>
  <c r="O18" i="17" s="1"/>
  <c r="K18" i="17"/>
  <c r="L18" i="17"/>
  <c r="M18" i="17"/>
  <c r="N18" i="17"/>
  <c r="P18" i="17"/>
  <c r="Q18" i="17"/>
  <c r="R18" i="17"/>
  <c r="S18" i="17"/>
  <c r="T18" i="17"/>
  <c r="U18" i="17"/>
  <c r="V18" i="17"/>
  <c r="W18" i="17"/>
  <c r="Y18" i="17"/>
  <c r="Z18" i="17"/>
  <c r="AA18" i="17"/>
  <c r="AB18" i="17"/>
  <c r="AC18" i="17"/>
  <c r="AE18" i="17"/>
  <c r="AF18" i="17"/>
  <c r="AG18" i="17"/>
  <c r="AH18" i="17"/>
  <c r="AI18" i="17"/>
  <c r="AJ18" i="17"/>
  <c r="AK18" i="17"/>
  <c r="AL18" i="17"/>
  <c r="AM18" i="17"/>
  <c r="AN18" i="17"/>
  <c r="AO18" i="17"/>
  <c r="AP18" i="17"/>
  <c r="AQ18" i="17"/>
  <c r="AR18" i="17"/>
  <c r="AS18" i="17"/>
  <c r="K19" i="17"/>
  <c r="L19" i="17"/>
  <c r="M19" i="17"/>
  <c r="N19" i="17"/>
  <c r="P19" i="17"/>
  <c r="R19" i="17"/>
  <c r="S19" i="17"/>
  <c r="U19" i="17"/>
  <c r="W19" i="17"/>
  <c r="X19" i="17"/>
  <c r="Y19" i="17"/>
  <c r="Z19" i="17"/>
  <c r="AA19" i="17"/>
  <c r="AB19" i="17"/>
  <c r="AC19" i="17"/>
  <c r="AD19" i="17"/>
  <c r="AE19" i="17"/>
  <c r="AF19" i="17"/>
  <c r="AG19" i="17"/>
  <c r="AH19" i="17"/>
  <c r="AI19" i="17"/>
  <c r="AJ19" i="17"/>
  <c r="AK19" i="17"/>
  <c r="AL19" i="17"/>
  <c r="AM19" i="17"/>
  <c r="AN19" i="17"/>
  <c r="AO19" i="17"/>
  <c r="AP19" i="17"/>
  <c r="AQ19" i="17"/>
  <c r="AR19" i="17"/>
  <c r="AS19" i="17"/>
  <c r="K20" i="17"/>
  <c r="L20" i="17"/>
  <c r="M20" i="17"/>
  <c r="N20" i="17"/>
  <c r="P20" i="17"/>
  <c r="Q20" i="17"/>
  <c r="R20" i="17"/>
  <c r="S20" i="17"/>
  <c r="T20" i="17"/>
  <c r="U20" i="17"/>
  <c r="V20" i="17"/>
  <c r="W20" i="17"/>
  <c r="X20" i="17"/>
  <c r="Y20" i="17"/>
  <c r="Z20" i="17"/>
  <c r="AB20" i="17"/>
  <c r="AC20" i="17"/>
  <c r="AD20" i="17"/>
  <c r="AE20" i="17"/>
  <c r="AF20" i="17"/>
  <c r="AG20" i="17"/>
  <c r="AH20" i="17"/>
  <c r="AJ20" i="17"/>
  <c r="AK20" i="17"/>
  <c r="AL20" i="17"/>
  <c r="AM20" i="17"/>
  <c r="AN20" i="17"/>
  <c r="AO20" i="17"/>
  <c r="AP20" i="17"/>
  <c r="AQ20" i="17"/>
  <c r="AR20" i="17"/>
  <c r="AS20" i="17"/>
  <c r="K21" i="17"/>
  <c r="L21" i="17"/>
  <c r="M21" i="17"/>
  <c r="N21" i="17"/>
  <c r="O21" i="17"/>
  <c r="Q21" i="17"/>
  <c r="R21" i="17"/>
  <c r="S21" i="17"/>
  <c r="T21" i="17"/>
  <c r="U21" i="17"/>
  <c r="V21" i="17"/>
  <c r="W21" i="17"/>
  <c r="Y21" i="17"/>
  <c r="Z21" i="17"/>
  <c r="AA21" i="17"/>
  <c r="AB21" i="17"/>
  <c r="AC21" i="17"/>
  <c r="AD21" i="17"/>
  <c r="AE21" i="17"/>
  <c r="AF21" i="17"/>
  <c r="AG21" i="17"/>
  <c r="AH21" i="17"/>
  <c r="AI21" i="17"/>
  <c r="AJ21" i="17"/>
  <c r="AK21" i="17"/>
  <c r="AL21" i="17"/>
  <c r="AM21" i="17"/>
  <c r="AO21" i="17"/>
  <c r="AP21" i="17"/>
  <c r="AQ21" i="17"/>
  <c r="AR21" i="17"/>
  <c r="AS21" i="17"/>
  <c r="J25" i="17"/>
  <c r="J26" i="17"/>
  <c r="K30" i="17"/>
  <c r="L30" i="17"/>
  <c r="M30" i="17"/>
  <c r="N30" i="17"/>
  <c r="O30" i="17"/>
  <c r="P30" i="17"/>
  <c r="Q30" i="17"/>
  <c r="R30" i="17"/>
  <c r="S30" i="17"/>
  <c r="T30" i="17"/>
  <c r="U30" i="17"/>
  <c r="V30" i="17"/>
  <c r="W30" i="17"/>
  <c r="X30" i="17"/>
  <c r="Y30" i="17"/>
  <c r="Z30" i="17"/>
  <c r="AA30" i="17"/>
  <c r="AB30" i="17"/>
  <c r="AC30" i="17"/>
  <c r="AD30" i="17"/>
  <c r="AE30" i="17"/>
  <c r="AF30" i="17"/>
  <c r="AG30" i="17"/>
  <c r="AH30" i="17"/>
  <c r="AI30" i="17"/>
  <c r="AJ30" i="17"/>
  <c r="AK30" i="17"/>
  <c r="AL30" i="17"/>
  <c r="AM30" i="17"/>
  <c r="AN30" i="17"/>
  <c r="AO30" i="17"/>
  <c r="AP30" i="17"/>
  <c r="E33" i="17"/>
  <c r="F28" i="2" s="1"/>
  <c r="K34" i="17"/>
  <c r="L34" i="17"/>
  <c r="M34" i="17"/>
  <c r="N34" i="17"/>
  <c r="O34" i="17"/>
  <c r="P34" i="17"/>
  <c r="Q34" i="17"/>
  <c r="R34" i="17"/>
  <c r="S34" i="17"/>
  <c r="T34" i="17"/>
  <c r="U34" i="17"/>
  <c r="V34" i="17"/>
  <c r="W34" i="17"/>
  <c r="X34" i="17"/>
  <c r="Y34" i="17"/>
  <c r="Z34" i="17"/>
  <c r="AA34" i="17"/>
  <c r="AB34" i="17"/>
  <c r="AC34" i="17"/>
  <c r="AD34" i="17"/>
  <c r="AE34" i="17"/>
  <c r="AF34" i="17"/>
  <c r="AG34" i="17"/>
  <c r="AH34" i="17"/>
  <c r="AI34" i="17"/>
  <c r="AJ34" i="17"/>
  <c r="AK34" i="17"/>
  <c r="AL34" i="17"/>
  <c r="AM34" i="17"/>
  <c r="AN34" i="17"/>
  <c r="AO34" i="17"/>
  <c r="AP34" i="17"/>
  <c r="AQ34" i="17"/>
  <c r="AR34" i="17"/>
  <c r="AS34" i="17"/>
  <c r="AQ49" i="20" s="1"/>
  <c r="K35" i="17"/>
  <c r="L35" i="17"/>
  <c r="M35" i="17"/>
  <c r="X18" i="17" l="1"/>
  <c r="AM39" i="17"/>
  <c r="AH49" i="20"/>
  <c r="T36" i="17"/>
  <c r="R49" i="20"/>
  <c r="AA36" i="17"/>
  <c r="Y49" i="20"/>
  <c r="M38" i="17"/>
  <c r="I49" i="20"/>
  <c r="AR38" i="17"/>
  <c r="AN49" i="20"/>
  <c r="Z36" i="17"/>
  <c r="X49" i="20"/>
  <c r="S37" i="17"/>
  <c r="P49" i="20"/>
  <c r="AR39" i="17"/>
  <c r="AM49" i="20"/>
  <c r="AJ39" i="17"/>
  <c r="AE49" i="20"/>
  <c r="AB39" i="17"/>
  <c r="W49" i="20"/>
  <c r="T39" i="17"/>
  <c r="O49" i="20"/>
  <c r="AN36" i="17"/>
  <c r="AL49" i="20"/>
  <c r="AH38" i="17"/>
  <c r="AD49" i="20"/>
  <c r="Y37" i="17"/>
  <c r="V49" i="20"/>
  <c r="R38" i="17"/>
  <c r="N49" i="20"/>
  <c r="AM36" i="17"/>
  <c r="AK49" i="20"/>
  <c r="AH39" i="17"/>
  <c r="AC49" i="20"/>
  <c r="X37" i="17"/>
  <c r="U49" i="20"/>
  <c r="O36" i="17"/>
  <c r="M49" i="20"/>
  <c r="AO39" i="17"/>
  <c r="AJ49" i="20"/>
  <c r="AD36" i="17"/>
  <c r="AB49" i="20"/>
  <c r="V36" i="17"/>
  <c r="T49" i="20"/>
  <c r="N36" i="17"/>
  <c r="L49" i="20"/>
  <c r="AR36" i="17"/>
  <c r="AP49" i="20"/>
  <c r="AB36" i="17"/>
  <c r="Z49" i="20"/>
  <c r="N38" i="17"/>
  <c r="J49" i="20"/>
  <c r="AR37" i="17"/>
  <c r="AO49" i="20"/>
  <c r="AQ57" i="20" s="1"/>
  <c r="AI36" i="17"/>
  <c r="AG49" i="20"/>
  <c r="U38" i="17"/>
  <c r="Q49" i="20"/>
  <c r="AJ38" i="17"/>
  <c r="AF49" i="20"/>
  <c r="AM38" i="17"/>
  <c r="AI49" i="20"/>
  <c r="AE38" i="17"/>
  <c r="AA49" i="20"/>
  <c r="W38" i="17"/>
  <c r="S49" i="20"/>
  <c r="P39" i="17"/>
  <c r="K49" i="20"/>
  <c r="AD18" i="17"/>
  <c r="K42" i="20"/>
  <c r="K60" i="20" s="1"/>
  <c r="L52" i="20" s="1"/>
  <c r="R39" i="17"/>
  <c r="AF37" i="17"/>
  <c r="AG38" i="17"/>
  <c r="AE36" i="17"/>
  <c r="Y38" i="17"/>
  <c r="Z39" i="17"/>
  <c r="Y39" i="17"/>
  <c r="Q38" i="17"/>
  <c r="Q37" i="17"/>
  <c r="P37" i="17"/>
  <c r="AP39" i="17"/>
  <c r="Z38" i="17"/>
  <c r="AN37" i="17"/>
  <c r="AO38" i="17"/>
  <c r="Q39" i="17"/>
  <c r="W36" i="17"/>
  <c r="AG39" i="17"/>
  <c r="T37" i="17"/>
  <c r="S36" i="17"/>
  <c r="AC38" i="17"/>
  <c r="AB37" i="17"/>
  <c r="V39" i="17"/>
  <c r="K36" i="17"/>
  <c r="L37" i="17"/>
  <c r="N39" i="17"/>
  <c r="AD39" i="17"/>
  <c r="AK38" i="17"/>
  <c r="AL39" i="17"/>
  <c r="AF36" i="17"/>
  <c r="AN39" i="17"/>
  <c r="AJ37" i="17"/>
  <c r="X39" i="17"/>
  <c r="AL38" i="17"/>
  <c r="W39" i="17"/>
  <c r="AJ36" i="17"/>
  <c r="AH36" i="17"/>
  <c r="U37" i="17"/>
  <c r="AQ36" i="17"/>
  <c r="AS38" i="17"/>
  <c r="AP38" i="17"/>
  <c r="X36" i="17"/>
  <c r="U39" i="17"/>
  <c r="R36" i="17"/>
  <c r="S39" i="17"/>
  <c r="AQ39" i="17"/>
  <c r="AA39" i="17"/>
  <c r="AO37" i="17"/>
  <c r="R37" i="17"/>
  <c r="P36" i="17"/>
  <c r="AC39" i="17"/>
  <c r="AI37" i="17"/>
  <c r="AF39" i="17"/>
  <c r="T38" i="17"/>
  <c r="AH37" i="17"/>
  <c r="AE39" i="17"/>
  <c r="AD38" i="17"/>
  <c r="AS37" i="17"/>
  <c r="AG37" i="17"/>
  <c r="G16" i="17"/>
  <c r="AD16" i="17" s="1"/>
  <c r="AB38" i="17"/>
  <c r="AQ37" i="17"/>
  <c r="AK39" i="17"/>
  <c r="AA37" i="17"/>
  <c r="AP36" i="17"/>
  <c r="AI39" i="17"/>
  <c r="AI38" i="17"/>
  <c r="M37" i="17"/>
  <c r="AO36" i="17"/>
  <c r="L36" i="17"/>
  <c r="AS39" i="17"/>
  <c r="O39" i="17"/>
  <c r="V38" i="17"/>
  <c r="Y36" i="17"/>
  <c r="G19" i="17"/>
  <c r="G21" i="17"/>
  <c r="AN21" i="17" s="1"/>
  <c r="G17" i="17"/>
  <c r="G14" i="17"/>
  <c r="R14" i="17" s="1"/>
  <c r="AA38" i="17"/>
  <c r="AC37" i="17"/>
  <c r="AQ38" i="17"/>
  <c r="O38" i="17"/>
  <c r="AK37" i="17"/>
  <c r="Z37" i="17"/>
  <c r="Q36" i="17"/>
  <c r="AL36" i="17"/>
  <c r="AM37" i="17"/>
  <c r="AN38" i="17"/>
  <c r="AS36" i="17"/>
  <c r="AK36" i="17"/>
  <c r="AL37" i="17"/>
  <c r="AC36" i="17"/>
  <c r="AD37" i="17"/>
  <c r="U36" i="17"/>
  <c r="V37" i="17"/>
  <c r="M36" i="17"/>
  <c r="N37" i="17"/>
  <c r="K26" i="17"/>
  <c r="S38" i="17"/>
  <c r="AP37" i="17"/>
  <c r="AG36" i="17"/>
  <c r="I34" i="17"/>
  <c r="G28" i="2" s="1"/>
  <c r="AF38" i="17"/>
  <c r="X38" i="17"/>
  <c r="P38" i="17"/>
  <c r="G15" i="17"/>
  <c r="AF15" i="17" s="1"/>
  <c r="G20" i="17"/>
  <c r="AI20" i="17" s="1"/>
  <c r="AE37" i="17"/>
  <c r="W37" i="17"/>
  <c r="O37" i="17"/>
  <c r="H18" i="17"/>
  <c r="H17" i="17" l="1"/>
  <c r="AA17" i="17"/>
  <c r="Q19" i="17"/>
  <c r="T19" i="17"/>
  <c r="AP58" i="20"/>
  <c r="AO57" i="20"/>
  <c r="AK57" i="20"/>
  <c r="AL58" i="20"/>
  <c r="O57" i="20"/>
  <c r="P58" i="20"/>
  <c r="S58" i="20"/>
  <c r="R57" i="20"/>
  <c r="W57" i="20"/>
  <c r="X58" i="20"/>
  <c r="AC57" i="20"/>
  <c r="AD58" i="20"/>
  <c r="AI57" i="20"/>
  <c r="AJ58" i="20"/>
  <c r="AL57" i="20"/>
  <c r="AM58" i="20"/>
  <c r="AM57" i="20"/>
  <c r="AN58" i="20"/>
  <c r="AO58" i="20"/>
  <c r="AN57" i="20"/>
  <c r="L58" i="20"/>
  <c r="K57" i="20"/>
  <c r="N57" i="20"/>
  <c r="O58" i="20"/>
  <c r="Q58" i="20"/>
  <c r="P57" i="20"/>
  <c r="R58" i="20"/>
  <c r="Q57" i="20"/>
  <c r="AA57" i="20"/>
  <c r="AB58" i="20"/>
  <c r="N58" i="20"/>
  <c r="M57" i="20"/>
  <c r="AI58" i="20"/>
  <c r="AH57" i="20"/>
  <c r="M58" i="20"/>
  <c r="K56" i="20"/>
  <c r="L57" i="20"/>
  <c r="J55" i="20"/>
  <c r="W58" i="20"/>
  <c r="V57" i="20"/>
  <c r="Y58" i="20"/>
  <c r="X57" i="20"/>
  <c r="Y57" i="20"/>
  <c r="Z58" i="20"/>
  <c r="AA58" i="20"/>
  <c r="Z57" i="20"/>
  <c r="T57" i="20"/>
  <c r="U58" i="20"/>
  <c r="U57" i="20"/>
  <c r="V58" i="20"/>
  <c r="S57" i="20"/>
  <c r="T58" i="20"/>
  <c r="AB57" i="20"/>
  <c r="AC58" i="20"/>
  <c r="AD57" i="20"/>
  <c r="AE58" i="20"/>
  <c r="AE57" i="20"/>
  <c r="AF58" i="20"/>
  <c r="AG58" i="20"/>
  <c r="AF57" i="20"/>
  <c r="AH58" i="20"/>
  <c r="AG57" i="20"/>
  <c r="AQ58" i="20"/>
  <c r="AP57" i="20"/>
  <c r="AK58" i="20"/>
  <c r="AJ57" i="20"/>
  <c r="L42" i="20"/>
  <c r="L43" i="20" s="1"/>
  <c r="C28" i="2"/>
  <c r="Q16" i="17"/>
  <c r="H15" i="17"/>
  <c r="U15" i="17"/>
  <c r="U26" i="17" s="1"/>
  <c r="AO26" i="17"/>
  <c r="AS26" i="17"/>
  <c r="AJ26" i="17"/>
  <c r="N14" i="17"/>
  <c r="H14" i="17"/>
  <c r="V14" i="17"/>
  <c r="AQ26" i="17"/>
  <c r="O17" i="17"/>
  <c r="AF17" i="17"/>
  <c r="N16" i="17"/>
  <c r="T16" i="17"/>
  <c r="P21" i="17"/>
  <c r="X21" i="17"/>
  <c r="X26" i="17" s="1"/>
  <c r="N15" i="17"/>
  <c r="V15" i="17"/>
  <c r="H21" i="17"/>
  <c r="K25" i="17"/>
  <c r="O19" i="17"/>
  <c r="V19" i="17"/>
  <c r="O20" i="17"/>
  <c r="AA20" i="17"/>
  <c r="H20" i="17"/>
  <c r="H16" i="17"/>
  <c r="H19" i="17"/>
  <c r="AR25" i="17"/>
  <c r="R26" i="17"/>
  <c r="M25" i="17"/>
  <c r="M40" i="17" s="1"/>
  <c r="M42" i="17" s="1"/>
  <c r="N35" i="17" s="1"/>
  <c r="AE25" i="17"/>
  <c r="AH26" i="17"/>
  <c r="AH25" i="17"/>
  <c r="AG25" i="17"/>
  <c r="AJ25" i="17"/>
  <c r="AL26" i="17"/>
  <c r="L25" i="17"/>
  <c r="S25" i="17"/>
  <c r="S26" i="17"/>
  <c r="AR26" i="17"/>
  <c r="R25" i="17"/>
  <c r="W26" i="17"/>
  <c r="W25" i="17"/>
  <c r="AL25" i="17"/>
  <c r="AG26" i="17"/>
  <c r="AM26" i="17"/>
  <c r="AM25" i="17"/>
  <c r="AQ25" i="17"/>
  <c r="L26" i="17"/>
  <c r="AN25" i="17"/>
  <c r="AK25" i="17"/>
  <c r="M26" i="17"/>
  <c r="P25" i="17" l="1"/>
  <c r="J61" i="20"/>
  <c r="J64" i="20" s="1"/>
  <c r="K53" i="20" s="1"/>
  <c r="L60" i="20"/>
  <c r="L63" i="20" s="1"/>
  <c r="M52" i="20" s="1"/>
  <c r="M42" i="20" s="1"/>
  <c r="M43" i="20" s="1"/>
  <c r="U25" i="17"/>
  <c r="V26" i="17"/>
  <c r="N25" i="17"/>
  <c r="N40" i="17" s="1"/>
  <c r="N42" i="17" s="1"/>
  <c r="O35" i="17" s="1"/>
  <c r="X25" i="17"/>
  <c r="O26" i="17"/>
  <c r="O25" i="17"/>
  <c r="AS25" i="17"/>
  <c r="AK26" i="17"/>
  <c r="AO25" i="17"/>
  <c r="AF26" i="17"/>
  <c r="P26" i="17"/>
  <c r="N26" i="17"/>
  <c r="V25" i="17"/>
  <c r="AF25" i="17"/>
  <c r="AP25" i="17"/>
  <c r="AP26" i="17"/>
  <c r="AE26" i="17"/>
  <c r="AA25" i="17"/>
  <c r="AA26" i="17"/>
  <c r="Q25" i="17"/>
  <c r="Q26" i="17"/>
  <c r="AB25" i="17"/>
  <c r="AB26" i="17"/>
  <c r="T25" i="17"/>
  <c r="T26" i="17"/>
  <c r="AN26" i="17"/>
  <c r="AI26" i="17"/>
  <c r="AI25" i="17"/>
  <c r="Z26" i="17"/>
  <c r="Z25" i="17"/>
  <c r="AD26" i="17"/>
  <c r="AD25" i="17"/>
  <c r="Y26" i="17"/>
  <c r="Y25" i="17"/>
  <c r="AC25" i="17"/>
  <c r="AC26" i="17"/>
  <c r="K61" i="20" l="1"/>
  <c r="K64" i="20" s="1"/>
  <c r="L53" i="20" s="1"/>
  <c r="L61" i="20" s="1"/>
  <c r="L64" i="20" s="1"/>
  <c r="M53" i="20" s="1"/>
  <c r="M60" i="20"/>
  <c r="M63" i="20" s="1"/>
  <c r="N52" i="20" s="1"/>
  <c r="N42" i="20" s="1"/>
  <c r="N43" i="20" s="1"/>
  <c r="I25" i="17"/>
  <c r="D28" i="2" s="1"/>
  <c r="I26" i="17"/>
  <c r="E28" i="2" s="1"/>
  <c r="O40" i="17"/>
  <c r="O42" i="17" s="1"/>
  <c r="P35" i="17" s="1"/>
  <c r="M61" i="20" l="1"/>
  <c r="M64" i="20" s="1"/>
  <c r="N53" i="20" s="1"/>
  <c r="N60" i="20"/>
  <c r="N63" i="20" s="1"/>
  <c r="O52" i="20" s="1"/>
  <c r="P40" i="17"/>
  <c r="P42" i="17" s="1"/>
  <c r="Q35" i="17" s="1"/>
  <c r="N61" i="20" l="1"/>
  <c r="N64" i="20" s="1"/>
  <c r="O53" i="20" s="1"/>
  <c r="O42" i="20"/>
  <c r="O43" i="20" s="1"/>
  <c r="Q40" i="17"/>
  <c r="Q42" i="17" s="1"/>
  <c r="R35" i="17" s="1"/>
  <c r="O61" i="20" l="1"/>
  <c r="O64" i="20" s="1"/>
  <c r="P53" i="20" s="1"/>
  <c r="O60" i="20"/>
  <c r="O63" i="20" s="1"/>
  <c r="P52" i="20" s="1"/>
  <c r="P42" i="20" s="1"/>
  <c r="P43" i="20" s="1"/>
  <c r="R40" i="17"/>
  <c r="R42" i="17" s="1"/>
  <c r="S35" i="17" s="1"/>
  <c r="P61" i="20" l="1"/>
  <c r="P64" i="20" s="1"/>
  <c r="Q53" i="20" s="1"/>
  <c r="P60" i="20"/>
  <c r="P63" i="20" s="1"/>
  <c r="Q52" i="20" s="1"/>
  <c r="Q42" i="20" s="1"/>
  <c r="Q43" i="20" s="1"/>
  <c r="S40" i="17"/>
  <c r="S42" i="17" s="1"/>
  <c r="T35" i="17" s="1"/>
  <c r="Q61" i="20" l="1"/>
  <c r="Q64" i="20" s="1"/>
  <c r="R53" i="20" s="1"/>
  <c r="Q60" i="20"/>
  <c r="Q63" i="20" s="1"/>
  <c r="R52" i="20" s="1"/>
  <c r="T40" i="17"/>
  <c r="T42" i="17" s="1"/>
  <c r="U35" i="17" s="1"/>
  <c r="R61" i="20" l="1"/>
  <c r="R64" i="20" s="1"/>
  <c r="S53" i="20" s="1"/>
  <c r="R42" i="20"/>
  <c r="R43" i="20" s="1"/>
  <c r="U40" i="17"/>
  <c r="U42" i="17" s="1"/>
  <c r="V35" i="17" s="1"/>
  <c r="S61" i="20" l="1"/>
  <c r="S64" i="20" s="1"/>
  <c r="T53" i="20" s="1"/>
  <c r="T61" i="20" s="1"/>
  <c r="T64" i="20" s="1"/>
  <c r="U53" i="20" s="1"/>
  <c r="U61" i="20" s="1"/>
  <c r="R60" i="20"/>
  <c r="R63" i="20" s="1"/>
  <c r="S52" i="20" s="1"/>
  <c r="V40" i="17"/>
  <c r="V42" i="17" s="1"/>
  <c r="W35" i="17" s="1"/>
  <c r="U64" i="20" l="1"/>
  <c r="V53" i="20" s="1"/>
  <c r="V61" i="20" s="1"/>
  <c r="V64" i="20" s="1"/>
  <c r="W53" i="20" s="1"/>
  <c r="S42" i="20"/>
  <c r="S43" i="20" s="1"/>
  <c r="W40" i="17"/>
  <c r="W42" i="17" s="1"/>
  <c r="X35" i="17" s="1"/>
  <c r="S60" i="20" l="1"/>
  <c r="S63" i="20" s="1"/>
  <c r="T52" i="20" s="1"/>
  <c r="T42" i="20" s="1"/>
  <c r="T43" i="20" s="1"/>
  <c r="W61" i="20"/>
  <c r="W64" i="20" s="1"/>
  <c r="X53" i="20" s="1"/>
  <c r="X40" i="17"/>
  <c r="X42" i="17" s="1"/>
  <c r="Y35" i="17" s="1"/>
  <c r="T60" i="20" l="1"/>
  <c r="T63" i="20" s="1"/>
  <c r="U52" i="20" s="1"/>
  <c r="U42" i="20" s="1"/>
  <c r="U43" i="20" s="1"/>
  <c r="X61" i="20"/>
  <c r="X64" i="20" s="1"/>
  <c r="Y53" i="20" s="1"/>
  <c r="Y40" i="17"/>
  <c r="Y42" i="17" s="1"/>
  <c r="Z35" i="17" s="1"/>
  <c r="U60" i="20" l="1"/>
  <c r="U63" i="20" s="1"/>
  <c r="V52" i="20" s="1"/>
  <c r="V42" i="20" s="1"/>
  <c r="V43" i="20" s="1"/>
  <c r="Y61" i="20"/>
  <c r="Y64" i="20" s="1"/>
  <c r="Z53" i="20" s="1"/>
  <c r="Z40" i="17"/>
  <c r="Z42" i="17" s="1"/>
  <c r="AA35" i="17" s="1"/>
  <c r="V60" i="20" l="1"/>
  <c r="V63" i="20" s="1"/>
  <c r="W52" i="20" s="1"/>
  <c r="W42" i="20" s="1"/>
  <c r="W43" i="20" s="1"/>
  <c r="Z61" i="20"/>
  <c r="Z64" i="20" s="1"/>
  <c r="AA53" i="20" s="1"/>
  <c r="AA40" i="17"/>
  <c r="AA42" i="17" s="1"/>
  <c r="AB35" i="17" s="1"/>
  <c r="W60" i="20" l="1"/>
  <c r="W63" i="20" s="1"/>
  <c r="X52" i="20" s="1"/>
  <c r="X42" i="20" s="1"/>
  <c r="X43" i="20" s="1"/>
  <c r="AA61" i="20"/>
  <c r="AA64" i="20" s="1"/>
  <c r="AB53" i="20" s="1"/>
  <c r="AB40" i="17"/>
  <c r="AB42" i="17" s="1"/>
  <c r="AC35" i="17" s="1"/>
  <c r="X60" i="20" l="1"/>
  <c r="X63" i="20" s="1"/>
  <c r="Y52" i="20" s="1"/>
  <c r="Y42" i="20" s="1"/>
  <c r="Y43" i="20" s="1"/>
  <c r="AB61" i="20"/>
  <c r="AB64" i="20" s="1"/>
  <c r="AC53" i="20" s="1"/>
  <c r="AC40" i="17"/>
  <c r="AC42" i="17" s="1"/>
  <c r="AD35" i="17" s="1"/>
  <c r="Y60" i="20" l="1"/>
  <c r="Y63" i="20" s="1"/>
  <c r="Z52" i="20" s="1"/>
  <c r="AC61" i="20"/>
  <c r="AC64" i="20" s="1"/>
  <c r="AD53" i="20" s="1"/>
  <c r="AD40" i="17"/>
  <c r="AD42" i="17" s="1"/>
  <c r="AE35" i="17" s="1"/>
  <c r="Z42" i="20" l="1"/>
  <c r="Z43" i="20" s="1"/>
  <c r="AD61" i="20"/>
  <c r="AD64" i="20"/>
  <c r="AE53" i="20" s="1"/>
  <c r="AE40" i="17"/>
  <c r="AE42" i="17" s="1"/>
  <c r="AF35" i="17" s="1"/>
  <c r="Z60" i="20" l="1"/>
  <c r="Z63" i="20" s="1"/>
  <c r="AA52" i="20" s="1"/>
  <c r="AE61" i="20"/>
  <c r="AE64" i="20" s="1"/>
  <c r="AF53" i="20" s="1"/>
  <c r="AF40" i="17"/>
  <c r="AF42" i="17" s="1"/>
  <c r="AG35" i="17" s="1"/>
  <c r="AA42" i="20" l="1"/>
  <c r="AA43" i="20" s="1"/>
  <c r="AF61" i="20"/>
  <c r="AF64" i="20" s="1"/>
  <c r="AG53" i="20" s="1"/>
  <c r="AG40" i="17"/>
  <c r="AG42" i="17" s="1"/>
  <c r="AH35" i="17" s="1"/>
  <c r="AA60" i="20" l="1"/>
  <c r="AA63" i="20" s="1"/>
  <c r="AB52" i="20" s="1"/>
  <c r="AG61" i="20"/>
  <c r="AG64" i="20" s="1"/>
  <c r="AH53" i="20" s="1"/>
  <c r="AH40" i="17"/>
  <c r="AH42" i="17" s="1"/>
  <c r="AI35" i="17" s="1"/>
  <c r="AB42" i="20" l="1"/>
  <c r="AB43" i="20" s="1"/>
  <c r="AH61" i="20"/>
  <c r="AH64" i="20" s="1"/>
  <c r="AI53" i="20" s="1"/>
  <c r="AI40" i="17"/>
  <c r="AI42" i="17" s="1"/>
  <c r="AJ35" i="17" s="1"/>
  <c r="AB60" i="20" l="1"/>
  <c r="AB63" i="20" s="1"/>
  <c r="AC52" i="20" s="1"/>
  <c r="AC42" i="20" s="1"/>
  <c r="AC43" i="20" s="1"/>
  <c r="AI61" i="20"/>
  <c r="AI64" i="20" s="1"/>
  <c r="AJ53" i="20" s="1"/>
  <c r="AJ40" i="17"/>
  <c r="AJ42" i="17" s="1"/>
  <c r="AK35" i="17" s="1"/>
  <c r="AC60" i="20" l="1"/>
  <c r="AC63" i="20" s="1"/>
  <c r="AD52" i="20" s="1"/>
  <c r="AD42" i="20" s="1"/>
  <c r="AJ61" i="20"/>
  <c r="AJ64" i="20" s="1"/>
  <c r="AK53" i="20" s="1"/>
  <c r="AK40" i="17"/>
  <c r="AK42" i="17" s="1"/>
  <c r="AL35" i="17" s="1"/>
  <c r="AK61" i="20" l="1"/>
  <c r="AK64" i="20" s="1"/>
  <c r="AL53" i="20" s="1"/>
  <c r="AL40" i="17"/>
  <c r="AL42" i="17" s="1"/>
  <c r="AM35" i="17" s="1"/>
  <c r="AD43" i="20" l="1"/>
  <c r="AD60" i="20"/>
  <c r="AL61" i="20"/>
  <c r="AL64" i="20" s="1"/>
  <c r="AM53" i="20" s="1"/>
  <c r="AM40" i="17"/>
  <c r="AM42" i="17" s="1"/>
  <c r="AN35" i="17" s="1"/>
  <c r="AM61" i="20" l="1"/>
  <c r="AM64" i="20" s="1"/>
  <c r="AN53" i="20" s="1"/>
  <c r="AN40" i="17"/>
  <c r="AN42" i="17" s="1"/>
  <c r="AO35" i="17" s="1"/>
  <c r="AN61" i="20" l="1"/>
  <c r="AN64" i="20" s="1"/>
  <c r="AO53" i="20" s="1"/>
  <c r="AO40" i="17"/>
  <c r="AO42" i="17" s="1"/>
  <c r="AP35" i="17" s="1"/>
  <c r="AO61" i="20" l="1"/>
  <c r="AO64" i="20" s="1"/>
  <c r="AP53" i="20" s="1"/>
  <c r="AP40" i="17"/>
  <c r="AP42" i="17" s="1"/>
  <c r="AQ35" i="17" s="1"/>
  <c r="AP61" i="20" l="1"/>
  <c r="AP64" i="20" s="1"/>
  <c r="AQ53" i="20" s="1"/>
  <c r="AQ40" i="17"/>
  <c r="AQ42" i="17" s="1"/>
  <c r="AR35" i="17" s="1"/>
  <c r="AQ61" i="20" l="1"/>
  <c r="AQ64" i="20" s="1"/>
  <c r="AR40" i="17"/>
  <c r="AR42" i="17" s="1"/>
  <c r="AS40" i="17" l="1"/>
  <c r="AS42" i="17" l="1"/>
  <c r="I3" i="17" s="1"/>
  <c r="I40" i="17"/>
  <c r="H28" i="2" s="1"/>
  <c r="I41" i="17" l="1"/>
  <c r="D40" i="3"/>
  <c r="D38" i="3"/>
  <c r="D37" i="3"/>
  <c r="D41" i="3" s="1"/>
  <c r="D31" i="3"/>
  <c r="D30" i="3"/>
  <c r="D34" i="3" s="1"/>
  <c r="D24" i="3"/>
  <c r="D27" i="3" s="1"/>
  <c r="AM20" i="5" l="1"/>
  <c r="J21" i="5"/>
  <c r="J28" i="5" s="1"/>
  <c r="K21" i="5"/>
  <c r="K28" i="5" s="1"/>
  <c r="L21" i="5"/>
  <c r="L28" i="5" s="1"/>
  <c r="M21" i="5"/>
  <c r="M28" i="5" s="1"/>
  <c r="N21" i="5"/>
  <c r="N28" i="5" s="1"/>
  <c r="O21" i="5"/>
  <c r="O28" i="5" s="1"/>
  <c r="P21" i="5"/>
  <c r="P28" i="5" s="1"/>
  <c r="Q21" i="5"/>
  <c r="Q28" i="5" s="1"/>
  <c r="R21" i="5"/>
  <c r="R28" i="5" s="1"/>
  <c r="S21" i="5"/>
  <c r="S28" i="5" s="1"/>
  <c r="T21" i="5"/>
  <c r="T28" i="5" s="1"/>
  <c r="U21" i="5"/>
  <c r="U28" i="5" s="1"/>
  <c r="V21" i="5"/>
  <c r="V28" i="5" s="1"/>
  <c r="W21" i="5"/>
  <c r="W28" i="5" s="1"/>
  <c r="X21" i="5"/>
  <c r="X28" i="5" s="1"/>
  <c r="Y21" i="5"/>
  <c r="Y28" i="5" s="1"/>
  <c r="Z21" i="5"/>
  <c r="Z28" i="5" s="1"/>
  <c r="AA21" i="5"/>
  <c r="AA28" i="5" s="1"/>
  <c r="AB21" i="5"/>
  <c r="AB28" i="5" s="1"/>
  <c r="AC21" i="5"/>
  <c r="AC28" i="5" s="1"/>
  <c r="AD21" i="5"/>
  <c r="AD28" i="5" s="1"/>
  <c r="AE21" i="5"/>
  <c r="AE28" i="5" s="1"/>
  <c r="AF21" i="5"/>
  <c r="AF28" i="5" s="1"/>
  <c r="AG21" i="5"/>
  <c r="AG28" i="5" s="1"/>
  <c r="AH21" i="5"/>
  <c r="AH28" i="5" s="1"/>
  <c r="AI21" i="5"/>
  <c r="AI28" i="5" s="1"/>
  <c r="AJ21" i="5"/>
  <c r="AJ28" i="5" s="1"/>
  <c r="AK21" i="5"/>
  <c r="AK28" i="5" s="1"/>
  <c r="AL21" i="5"/>
  <c r="AL28" i="5" s="1"/>
  <c r="AM21" i="5"/>
  <c r="AM28" i="5" s="1"/>
  <c r="AN21" i="5"/>
  <c r="I21" i="5"/>
  <c r="I28" i="5" s="1"/>
  <c r="H21" i="5"/>
  <c r="H28" i="5" s="1"/>
  <c r="E20" i="5"/>
  <c r="Q11" i="5"/>
  <c r="K8" i="5"/>
  <c r="D8" i="5"/>
  <c r="I9" i="5"/>
  <c r="J9" i="5"/>
  <c r="K9" i="5"/>
  <c r="L9" i="5"/>
  <c r="M9" i="5"/>
  <c r="N9" i="5"/>
  <c r="O9" i="5"/>
  <c r="P9" i="5"/>
  <c r="Q9" i="5"/>
  <c r="R9" i="5"/>
  <c r="S9" i="5"/>
  <c r="T9" i="5"/>
  <c r="U9" i="5"/>
  <c r="V9" i="5"/>
  <c r="W9" i="5"/>
  <c r="X9" i="5"/>
  <c r="Y9" i="5"/>
  <c r="Z9" i="5"/>
  <c r="AA9" i="5"/>
  <c r="AB9" i="5"/>
  <c r="AC9" i="5"/>
  <c r="AD9" i="5"/>
  <c r="AE9" i="5"/>
  <c r="AF9" i="5"/>
  <c r="AG9" i="5"/>
  <c r="AH9" i="5"/>
  <c r="AI9" i="5"/>
  <c r="AJ9" i="5"/>
  <c r="AK9" i="5"/>
  <c r="AL9" i="5"/>
  <c r="AM9" i="5"/>
  <c r="AN9" i="5"/>
  <c r="I10" i="5"/>
  <c r="J10" i="5"/>
  <c r="K10" i="5"/>
  <c r="L10" i="5"/>
  <c r="M10" i="5"/>
  <c r="N10" i="5"/>
  <c r="O10" i="5"/>
  <c r="P10" i="5"/>
  <c r="Q10" i="5"/>
  <c r="R10" i="5"/>
  <c r="S10" i="5"/>
  <c r="T10" i="5"/>
  <c r="U10" i="5"/>
  <c r="V10" i="5"/>
  <c r="W10" i="5"/>
  <c r="X10" i="5"/>
  <c r="Y10" i="5"/>
  <c r="Z10" i="5"/>
  <c r="AA10" i="5"/>
  <c r="AB10" i="5"/>
  <c r="AC10" i="5"/>
  <c r="AD10" i="5"/>
  <c r="AE10" i="5"/>
  <c r="AF10" i="5"/>
  <c r="AG10" i="5"/>
  <c r="AH10" i="5"/>
  <c r="AI10" i="5"/>
  <c r="AJ10" i="5"/>
  <c r="AK10" i="5"/>
  <c r="AL10" i="5"/>
  <c r="AM10" i="5"/>
  <c r="AN10" i="5"/>
  <c r="I11" i="5"/>
  <c r="J11" i="5"/>
  <c r="K11" i="5"/>
  <c r="L11" i="5"/>
  <c r="M11" i="5"/>
  <c r="N11" i="5"/>
  <c r="O11" i="5"/>
  <c r="P11" i="5"/>
  <c r="R11" i="5"/>
  <c r="S11" i="5"/>
  <c r="T11" i="5"/>
  <c r="U11" i="5"/>
  <c r="V11" i="5"/>
  <c r="W11" i="5"/>
  <c r="X11" i="5"/>
  <c r="Y11" i="5"/>
  <c r="Z11" i="5"/>
  <c r="AA11" i="5"/>
  <c r="AB11" i="5"/>
  <c r="AC11" i="5"/>
  <c r="AD11" i="5"/>
  <c r="AE11" i="5"/>
  <c r="AF11" i="5"/>
  <c r="AG11" i="5"/>
  <c r="AH11" i="5"/>
  <c r="AI11" i="5"/>
  <c r="AJ11" i="5"/>
  <c r="AK11" i="5"/>
  <c r="AL11" i="5"/>
  <c r="AM11" i="5"/>
  <c r="AN11" i="5"/>
  <c r="I12" i="5"/>
  <c r="J12" i="5"/>
  <c r="K12" i="5"/>
  <c r="L12" i="5"/>
  <c r="M12" i="5"/>
  <c r="N12" i="5"/>
  <c r="O12" i="5"/>
  <c r="P12" i="5"/>
  <c r="Q12" i="5"/>
  <c r="R12" i="5"/>
  <c r="S12" i="5"/>
  <c r="T12" i="5"/>
  <c r="U12" i="5"/>
  <c r="V12" i="5"/>
  <c r="W12" i="5"/>
  <c r="X12" i="5"/>
  <c r="Y12" i="5"/>
  <c r="Z12" i="5"/>
  <c r="AA12" i="5"/>
  <c r="AB12" i="5"/>
  <c r="AC12" i="5"/>
  <c r="AD12" i="5"/>
  <c r="AE12" i="5"/>
  <c r="AF12" i="5"/>
  <c r="AG12" i="5"/>
  <c r="AH12" i="5"/>
  <c r="AI12" i="5"/>
  <c r="AJ12" i="5"/>
  <c r="AK12" i="5"/>
  <c r="AL12" i="5"/>
  <c r="AM12" i="5"/>
  <c r="AN12" i="5"/>
  <c r="I13" i="5"/>
  <c r="J13" i="5"/>
  <c r="K13" i="5"/>
  <c r="L13" i="5"/>
  <c r="M13" i="5"/>
  <c r="N13" i="5"/>
  <c r="O13" i="5"/>
  <c r="P13" i="5"/>
  <c r="Q13" i="5"/>
  <c r="R13" i="5"/>
  <c r="S13" i="5"/>
  <c r="T13" i="5"/>
  <c r="U13" i="5"/>
  <c r="V13" i="5"/>
  <c r="W13" i="5"/>
  <c r="X13" i="5"/>
  <c r="Y13" i="5"/>
  <c r="Z13" i="5"/>
  <c r="AA13" i="5"/>
  <c r="AB13" i="5"/>
  <c r="AC13" i="5"/>
  <c r="AD13" i="5"/>
  <c r="AE13" i="5"/>
  <c r="AF13" i="5"/>
  <c r="AG13" i="5"/>
  <c r="AH13" i="5"/>
  <c r="AI13" i="5"/>
  <c r="AJ13" i="5"/>
  <c r="AK13" i="5"/>
  <c r="AL13" i="5"/>
  <c r="AM13" i="5"/>
  <c r="AN13" i="5"/>
  <c r="I14" i="5"/>
  <c r="J14" i="5"/>
  <c r="K14" i="5"/>
  <c r="L14" i="5"/>
  <c r="M14" i="5"/>
  <c r="N14" i="5"/>
  <c r="O14" i="5"/>
  <c r="P14" i="5"/>
  <c r="Q14" i="5"/>
  <c r="R14" i="5"/>
  <c r="S14" i="5"/>
  <c r="T14" i="5"/>
  <c r="U14" i="5"/>
  <c r="V14" i="5"/>
  <c r="W14" i="5"/>
  <c r="X14" i="5"/>
  <c r="Y14" i="5"/>
  <c r="Z14" i="5"/>
  <c r="AA14" i="5"/>
  <c r="AB14" i="5"/>
  <c r="AC14" i="5"/>
  <c r="AD14" i="5"/>
  <c r="AE14" i="5"/>
  <c r="AF14" i="5"/>
  <c r="AG14" i="5"/>
  <c r="AH14" i="5"/>
  <c r="AI14" i="5"/>
  <c r="AJ14" i="5"/>
  <c r="AK14" i="5"/>
  <c r="AL14" i="5"/>
  <c r="AM14" i="5"/>
  <c r="AN14" i="5"/>
  <c r="I15" i="5"/>
  <c r="J15" i="5"/>
  <c r="K15" i="5"/>
  <c r="L15" i="5"/>
  <c r="M15" i="5"/>
  <c r="N15" i="5"/>
  <c r="O15" i="5"/>
  <c r="P15" i="5"/>
  <c r="Q15" i="5"/>
  <c r="R15" i="5"/>
  <c r="S15" i="5"/>
  <c r="T15" i="5"/>
  <c r="U15" i="5"/>
  <c r="V15" i="5"/>
  <c r="W15" i="5"/>
  <c r="X15" i="5"/>
  <c r="Y15" i="5"/>
  <c r="Z15" i="5"/>
  <c r="AA15" i="5"/>
  <c r="AB15" i="5"/>
  <c r="AC15" i="5"/>
  <c r="AD15" i="5"/>
  <c r="AE15" i="5"/>
  <c r="AF15" i="5"/>
  <c r="AG15" i="5"/>
  <c r="AH15" i="5"/>
  <c r="AI15" i="5"/>
  <c r="AJ15" i="5"/>
  <c r="AK15" i="5"/>
  <c r="AL15" i="5"/>
  <c r="AM15" i="5"/>
  <c r="AN15" i="5"/>
  <c r="I16" i="5"/>
  <c r="J16" i="5"/>
  <c r="K16" i="5"/>
  <c r="L16" i="5"/>
  <c r="M16" i="5"/>
  <c r="N16" i="5"/>
  <c r="O16" i="5"/>
  <c r="P16" i="5"/>
  <c r="Q16" i="5"/>
  <c r="R16" i="5"/>
  <c r="S16" i="5"/>
  <c r="T16" i="5"/>
  <c r="U16" i="5"/>
  <c r="V16" i="5"/>
  <c r="W16" i="5"/>
  <c r="X16" i="5"/>
  <c r="Y16" i="5"/>
  <c r="Z16" i="5"/>
  <c r="AA16" i="5"/>
  <c r="AB16" i="5"/>
  <c r="AC16" i="5"/>
  <c r="AD16" i="5"/>
  <c r="AE16" i="5"/>
  <c r="AF16" i="5"/>
  <c r="AG16" i="5"/>
  <c r="AH16" i="5"/>
  <c r="AI16" i="5"/>
  <c r="AJ16" i="5"/>
  <c r="AK16" i="5"/>
  <c r="AL16" i="5"/>
  <c r="AM16" i="5"/>
  <c r="AN16" i="5"/>
  <c r="I17" i="5"/>
  <c r="J17" i="5"/>
  <c r="K17" i="5"/>
  <c r="L17" i="5"/>
  <c r="M17" i="5"/>
  <c r="N17" i="5"/>
  <c r="O17" i="5"/>
  <c r="P17" i="5"/>
  <c r="Q17" i="5"/>
  <c r="R17" i="5"/>
  <c r="S17" i="5"/>
  <c r="T17" i="5"/>
  <c r="U17" i="5"/>
  <c r="V17" i="5"/>
  <c r="W17" i="5"/>
  <c r="X17" i="5"/>
  <c r="Y17" i="5"/>
  <c r="Z17" i="5"/>
  <c r="AA17" i="5"/>
  <c r="AB17" i="5"/>
  <c r="AC17" i="5"/>
  <c r="AD17" i="5"/>
  <c r="AE17" i="5"/>
  <c r="AF17" i="5"/>
  <c r="AG17" i="5"/>
  <c r="AH17" i="5"/>
  <c r="AI17" i="5"/>
  <c r="AJ17" i="5"/>
  <c r="AK17" i="5"/>
  <c r="AL17" i="5"/>
  <c r="AM17" i="5"/>
  <c r="AN17" i="5"/>
  <c r="H15" i="5"/>
  <c r="H16" i="5"/>
  <c r="H17" i="5"/>
  <c r="H10" i="5"/>
  <c r="H11" i="5"/>
  <c r="H12" i="5"/>
  <c r="H13" i="5"/>
  <c r="H14" i="5"/>
  <c r="H9" i="5"/>
  <c r="L8" i="5"/>
  <c r="M8" i="5"/>
  <c r="N8" i="5"/>
  <c r="O8" i="5"/>
  <c r="P8" i="5"/>
  <c r="Q8" i="5"/>
  <c r="R8" i="5"/>
  <c r="S8" i="5"/>
  <c r="T8" i="5"/>
  <c r="U8" i="5"/>
  <c r="V8" i="5"/>
  <c r="W8" i="5"/>
  <c r="X8" i="5"/>
  <c r="Y8" i="5"/>
  <c r="Z8" i="5"/>
  <c r="AA8" i="5"/>
  <c r="AB8" i="5"/>
  <c r="AC8" i="5"/>
  <c r="AD8" i="5"/>
  <c r="AE8" i="5"/>
  <c r="AF8" i="5"/>
  <c r="AG8" i="5"/>
  <c r="AH8" i="5"/>
  <c r="AI8" i="5"/>
  <c r="AJ8" i="5"/>
  <c r="AK8" i="5"/>
  <c r="AL8" i="5"/>
  <c r="AM8" i="5"/>
  <c r="AN8" i="5"/>
  <c r="I8" i="5"/>
  <c r="J8" i="5"/>
  <c r="H8" i="5"/>
  <c r="D9" i="5"/>
  <c r="D10" i="5"/>
  <c r="D11" i="5"/>
  <c r="D12" i="5"/>
  <c r="D13" i="5"/>
  <c r="D14" i="5"/>
  <c r="D15" i="5"/>
  <c r="D16" i="5"/>
  <c r="D17" i="5"/>
  <c r="J30" i="5" l="1"/>
  <c r="L30" i="5"/>
  <c r="I30" i="5"/>
  <c r="K30" i="5"/>
  <c r="K19" i="5"/>
  <c r="Q19" i="5"/>
  <c r="H22" i="5"/>
  <c r="H19" i="5"/>
  <c r="H18" i="5"/>
  <c r="G21" i="5" l="1"/>
  <c r="H25" i="5" l="1"/>
  <c r="I22" i="5" s="1"/>
  <c r="Q18" i="5" l="1"/>
  <c r="V18" i="5"/>
  <c r="V19" i="5"/>
  <c r="Y19" i="5"/>
  <c r="AG19" i="5"/>
  <c r="AN19" i="5"/>
  <c r="W19" i="5"/>
  <c r="N19" i="5"/>
  <c r="O19" i="5"/>
  <c r="AL19" i="5"/>
  <c r="AC19" i="5"/>
  <c r="U19" i="5"/>
  <c r="M19" i="5"/>
  <c r="X19" i="5"/>
  <c r="AM19" i="5"/>
  <c r="AK19" i="5"/>
  <c r="T19" i="5"/>
  <c r="L19" i="5"/>
  <c r="AF19" i="5"/>
  <c r="AB19" i="5"/>
  <c r="AA19" i="5"/>
  <c r="S19" i="5"/>
  <c r="P19" i="5"/>
  <c r="AE19" i="5"/>
  <c r="AD19" i="5"/>
  <c r="AJ19" i="5"/>
  <c r="AI19" i="5"/>
  <c r="AH19" i="5"/>
  <c r="Z19" i="5"/>
  <c r="R19" i="5"/>
  <c r="AG18" i="5"/>
  <c r="AH18" i="5"/>
  <c r="Z18" i="5"/>
  <c r="R18" i="5"/>
  <c r="J18" i="5"/>
  <c r="Y18" i="5"/>
  <c r="I18" i="5"/>
  <c r="AK18" i="5"/>
  <c r="AC18" i="5"/>
  <c r="U18" i="5"/>
  <c r="M18" i="5"/>
  <c r="I19" i="5"/>
  <c r="AL18" i="5"/>
  <c r="AD18" i="5"/>
  <c r="N18" i="5"/>
  <c r="J19" i="5"/>
  <c r="AN18" i="5"/>
  <c r="AJ18" i="5"/>
  <c r="AF18" i="5"/>
  <c r="AB18" i="5"/>
  <c r="X18" i="5"/>
  <c r="T18" i="5"/>
  <c r="P18" i="5"/>
  <c r="L18" i="5"/>
  <c r="AM18" i="5"/>
  <c r="AI18" i="5"/>
  <c r="AE18" i="5"/>
  <c r="AA18" i="5"/>
  <c r="W18" i="5"/>
  <c r="S18" i="5"/>
  <c r="O18" i="5"/>
  <c r="K18" i="5"/>
  <c r="E19" i="5" l="1"/>
  <c r="E21" i="5" s="1"/>
  <c r="I25" i="5" l="1"/>
  <c r="J22" i="5" s="1"/>
  <c r="J25" i="5" l="1"/>
  <c r="K22" i="5" l="1"/>
  <c r="K25" i="5" s="1"/>
  <c r="L22" i="5" l="1"/>
  <c r="L25" i="5" l="1"/>
  <c r="M22" i="5" s="1"/>
  <c r="M25" i="5" s="1"/>
  <c r="N22" i="5" l="1"/>
  <c r="N25" i="5" s="1"/>
  <c r="O22" i="5" s="1"/>
  <c r="O25" i="5" s="1"/>
  <c r="P22" i="5" l="1"/>
  <c r="P25" i="5" s="1"/>
  <c r="Q22" i="5" l="1"/>
  <c r="Q25" i="5" s="1"/>
  <c r="R22" i="5" l="1"/>
  <c r="R25" i="5" s="1"/>
  <c r="S22" i="5" l="1"/>
  <c r="S25" i="5" s="1"/>
  <c r="T22" i="5" l="1"/>
  <c r="T25" i="5" s="1"/>
  <c r="U22" i="5" l="1"/>
  <c r="U25" i="5" s="1"/>
  <c r="V22" i="5" l="1"/>
  <c r="V25" i="5" s="1"/>
  <c r="W22" i="5" l="1"/>
  <c r="W25" i="5" s="1"/>
  <c r="X22" i="5" l="1"/>
  <c r="X25" i="5" s="1"/>
  <c r="Y22" i="5" l="1"/>
  <c r="Y25" i="5" s="1"/>
  <c r="Z22" i="5" l="1"/>
  <c r="Z25" i="5" s="1"/>
  <c r="AA22" i="5" l="1"/>
  <c r="AA25" i="5" s="1"/>
  <c r="AB22" i="5" l="1"/>
  <c r="AB25" i="5" s="1"/>
  <c r="AC22" i="5" l="1"/>
  <c r="AC25" i="5" s="1"/>
  <c r="AD22" i="5" l="1"/>
  <c r="AD25" i="5" s="1"/>
  <c r="AE22" i="5" l="1"/>
  <c r="AE25" i="5" s="1"/>
  <c r="AF22" i="5" l="1"/>
  <c r="AF25" i="5" s="1"/>
  <c r="AG22" i="5" l="1"/>
  <c r="AG25" i="5" s="1"/>
  <c r="AH22" i="5" l="1"/>
  <c r="AH25" i="5" s="1"/>
  <c r="AI22" i="5" l="1"/>
  <c r="AI25" i="5" s="1"/>
  <c r="AJ22" i="5" l="1"/>
  <c r="AJ25" i="5" s="1"/>
  <c r="AK22" i="5" l="1"/>
  <c r="AK25" i="5" s="1"/>
  <c r="AL22" i="5" l="1"/>
  <c r="AL25" i="5" s="1"/>
  <c r="AM22" i="5" l="1"/>
  <c r="AM25" i="5" s="1"/>
  <c r="AN22" i="5" l="1"/>
  <c r="AN25" i="5" l="1"/>
  <c r="G22" i="5"/>
  <c r="E18" i="5" l="1"/>
  <c r="AD63" i="20"/>
  <c r="AE52" i="20" s="1"/>
  <c r="AE42" i="20" s="1"/>
  <c r="AE60" i="20" l="1"/>
  <c r="AE43" i="20" l="1"/>
  <c r="AE63" i="20"/>
  <c r="AF52" i="20" s="1"/>
  <c r="AF42" i="20" l="1"/>
  <c r="AF43" i="20" s="1"/>
  <c r="AF60" i="20" l="1"/>
  <c r="AF63" i="20" s="1"/>
  <c r="AG52" i="20" s="1"/>
  <c r="AG42" i="20" s="1"/>
  <c r="AG43" i="20" s="1"/>
  <c r="AG60" i="20" l="1"/>
  <c r="AG63" i="20" s="1"/>
  <c r="AH52" i="20" s="1"/>
  <c r="AH42" i="20" s="1"/>
  <c r="AH43" i="20" s="1"/>
  <c r="AH60" i="20" l="1"/>
  <c r="AH63" i="20" s="1"/>
  <c r="AI52" i="20" s="1"/>
  <c r="AI42" i="20" s="1"/>
  <c r="AI60" i="20" s="1"/>
  <c r="AI43" i="20" l="1"/>
  <c r="AI63" i="20"/>
  <c r="AJ52" i="20" s="1"/>
  <c r="AJ42" i="20" l="1"/>
  <c r="AJ60" i="20" s="1"/>
  <c r="AJ43" i="20" l="1"/>
  <c r="AJ63" i="20"/>
  <c r="AK52" i="20" s="1"/>
  <c r="AK42" i="20" l="1"/>
  <c r="AK60" i="20" s="1"/>
  <c r="AK43" i="20" l="1"/>
  <c r="AK63" i="20"/>
  <c r="AL52" i="20" s="1"/>
  <c r="AL60" i="20" l="1"/>
  <c r="AL42" i="20"/>
  <c r="AL43" i="20"/>
  <c r="AL63" i="20"/>
  <c r="AM52" i="20" s="1"/>
  <c r="AM42" i="20" l="1"/>
  <c r="AM60" i="20" s="1"/>
  <c r="AM43" i="20" l="1"/>
  <c r="AM63" i="20"/>
  <c r="AN52" i="20" s="1"/>
  <c r="AN42" i="20" l="1"/>
  <c r="AN60" i="20" s="1"/>
  <c r="AN43" i="20" l="1"/>
  <c r="AN63" i="20"/>
  <c r="AO52" i="20" s="1"/>
  <c r="AO42" i="20" l="1"/>
  <c r="AO60" i="20" s="1"/>
  <c r="AO43" i="20" l="1"/>
  <c r="AO63" i="20"/>
  <c r="AP52" i="20" s="1"/>
  <c r="AP42" i="20" l="1"/>
  <c r="AP43" i="20" l="1"/>
  <c r="AP60" i="20"/>
  <c r="AP63" i="20" s="1"/>
  <c r="AQ52" i="20" s="1"/>
  <c r="AQ42" i="20" l="1"/>
  <c r="AQ43" i="20" s="1"/>
  <c r="AQ60" i="20" l="1"/>
  <c r="AQ63" i="20" s="1"/>
</calcChain>
</file>

<file path=xl/sharedStrings.xml><?xml version="1.0" encoding="utf-8"?>
<sst xmlns="http://schemas.openxmlformats.org/spreadsheetml/2006/main" count="349" uniqueCount="280">
  <si>
    <t>HOW TO USE THIS DOCUMENT</t>
  </si>
  <si>
    <r>
      <rPr>
        <sz val="11"/>
        <color rgb="FF000000"/>
        <rFont val="Arial"/>
      </rPr>
      <t xml:space="preserve">Welcome to the model used to determine the Fire levy rate for the 2024 Off-site Levies Bylaw.
</t>
    </r>
    <r>
      <rPr>
        <b/>
        <sz val="11"/>
        <color rgb="FF000000"/>
        <rFont val="Arial"/>
      </rPr>
      <t xml:space="preserve">Note: This model is in DRAFT form for discussion purposes, using the latest information and assumptions available. 
</t>
    </r>
  </si>
  <si>
    <t>Fire Levy Tabs 1 - 7</t>
  </si>
  <si>
    <t>Tab Number</t>
  </si>
  <si>
    <t>Title</t>
  </si>
  <si>
    <t xml:space="preserve">Description </t>
  </si>
  <si>
    <t>Tab 1</t>
  </si>
  <si>
    <t>Steps and Assumptions</t>
  </si>
  <si>
    <t xml:space="preserve">This tab entails the assumptions and steps to create the financial model. It also provides some details to clarify questions around the assumptions. </t>
  </si>
  <si>
    <t>Tab 2</t>
  </si>
  <si>
    <t>Rate Summary</t>
  </si>
  <si>
    <t xml:space="preserve">This tab provides a high level summary of the steps that are taken to determine Fire Levy Rate calculation, and provides a look at the proposed levy rate. </t>
  </si>
  <si>
    <t>Tab 3</t>
  </si>
  <si>
    <t>Unlevied Land</t>
  </si>
  <si>
    <t>This tab describes the remaining unlevied land that is included in the model.</t>
  </si>
  <si>
    <t>Tab 4</t>
  </si>
  <si>
    <t>Infrastructure</t>
  </si>
  <si>
    <t>This tab provides details on Fire projects that need to be built over the model period to support the growth of communities</t>
  </si>
  <si>
    <t>Tab 5</t>
  </si>
  <si>
    <t>Benefit Allocation</t>
  </si>
  <si>
    <t xml:space="preserve">This tab provides the benefit rate calculation that considers the land that will benefit from infrastructure and then ties back to the future residents/jobs in that land. </t>
  </si>
  <si>
    <t>Tab 6</t>
  </si>
  <si>
    <t>Financial Model</t>
  </si>
  <si>
    <t>This tab provides the detailed forecast data used to calculated benefit.</t>
  </si>
  <si>
    <t>Tab 7</t>
  </si>
  <si>
    <t>Bylaw Continuity</t>
  </si>
  <si>
    <t>This sheet shows the continuity of expenditures, developer contributions, investment income, and fund balances for both the 2016 and 2024 Off-site Levies bylaws.</t>
  </si>
  <si>
    <t>Fire - Steps and Assumptions</t>
  </si>
  <si>
    <t>Summary</t>
  </si>
  <si>
    <t>Frequently Asked Questions</t>
  </si>
  <si>
    <t>The City will use this financial model to calculate Fire off-site levy rate per hectare that incorporates investment income, capital cost escalations, and the timing of expenditures and developer contributions through the model period. The levy rate calculated ensures that the off-site levy balance at the end of the model period is zero, i.e. revenues have matched expenditures. It also incorporates, if necessary, any interest costs incurred from the use of alternative funding sources required to deliver infrastructure in a timely manner.</t>
  </si>
  <si>
    <t>Assumptions</t>
  </si>
  <si>
    <t>Escalation Rate</t>
  </si>
  <si>
    <t>The escalation factor of 3.58% is a 5-year smoothed average, determined using Non-Residential Building Construction Price Index (CPI) for Calgary.</t>
  </si>
  <si>
    <t>Discount Rate</t>
  </si>
  <si>
    <t>The discount rate of 4.29% is based on the asset mix of investments held in The City's capital deposits, and the Long term Capital Market assumptions that The City uses in projecting returns from investment portfolios.</t>
  </si>
  <si>
    <t>Gross Developable Land</t>
  </si>
  <si>
    <t>Gross developable lands are calculated starting with the gross land area and deducting non-developable lands.</t>
  </si>
  <si>
    <t xml:space="preserve">Unlevied land includes all gross developable lands outside the off-site levy Established Area boundary that do not have executed development agreements, as of the end of 2023. </t>
  </si>
  <si>
    <t>Land Absorption</t>
  </si>
  <si>
    <t>• All remaining unlevied hectares will sign development agreements within the forecast period (ending 2055).
• The land absorption from 2023 to 2027 is based on the fall 2022 forecast by Corporate Economics. 
• Remaining unlevied hectares in current and future Area Structure Plans are assumed to follow a decreasing trend over the forecast period, on the expectation of higher densities supporting the same number of people.</t>
  </si>
  <si>
    <t xml:space="preserve">Benefit calculation considers the land that will benefit from future infrastructure and relates to the forecast residents and jobs in that land. </t>
  </si>
  <si>
    <t>Payment schedule</t>
  </si>
  <si>
    <t>This financial model incorporates the current levy payment schedule, where 100% of Fire levies are paid in year 3 after the development agreement is signed.</t>
  </si>
  <si>
    <t>Investment income on future value of cash flows</t>
  </si>
  <si>
    <t>Investment income is earned on the off-site levy beginning account balance, plus collections and minus spending through the year. Investment income on collections and spending is multiplied by a cashflow timing factor of 0.5 to reflect the fact that the timing of collection and spending varies throughout the year. If the balance of the off-site levy goes negative then interest is charged on the balance of the shortfall.</t>
  </si>
  <si>
    <t>Expenditures</t>
  </si>
  <si>
    <t>Expenditures include all currently planned infrastructure for the next 32 years. This list may change as better information becomes available.</t>
  </si>
  <si>
    <t>Fire - Rate Summary</t>
  </si>
  <si>
    <t>Proposed 2024 Levy Rate</t>
  </si>
  <si>
    <t>Figure 1. Off-site Levy rate calculation</t>
  </si>
  <si>
    <t>Step 1</t>
  </si>
  <si>
    <t>Step 2</t>
  </si>
  <si>
    <t>Step 3</t>
  </si>
  <si>
    <t>Step 4</t>
  </si>
  <si>
    <t>Step 5</t>
  </si>
  <si>
    <t>Step 6</t>
  </si>
  <si>
    <t>Step 7</t>
  </si>
  <si>
    <t>Step 8</t>
  </si>
  <si>
    <t>Total capital costs</t>
  </si>
  <si>
    <t>Unlevied capital cost</t>
  </si>
  <si>
    <t>Future value</t>
  </si>
  <si>
    <t>Discounted value</t>
  </si>
  <si>
    <t>Unlevied land absorption</t>
  </si>
  <si>
    <t>Developer contributions</t>
  </si>
  <si>
    <t>Investment income</t>
  </si>
  <si>
    <t>Levy rate</t>
  </si>
  <si>
    <t>Identify the total capital costs for projects that benefit unlevied lands. Details can be found in Tab 4.</t>
  </si>
  <si>
    <t>Unlevied capital cost: 
• Apply benefit rates to the capital costs of each project to determine the developer share of costs.</t>
  </si>
  <si>
    <t>Calculate the future value of capital costs over the model period. Details for this step can be found in Tab 6.</t>
  </si>
  <si>
    <t>Calculate the discounted value of the capital costs over the model period. Details for this step can be found in Tab 6.</t>
  </si>
  <si>
    <t>Details on unlevied lands can be found in Tab 3. Remaining unlevied lands are assumed to be fully absorbed within the model period, in the slowly decreasing trend shown on Tab 6.</t>
  </si>
  <si>
    <t>The levy rate is multiplied by the hectares that are forecast to sign development agreements each year to calculate the yearly contributions from the developers.</t>
  </si>
  <si>
    <t>The annual investment income is calculated by multiplying the balance of spending and contributions each year by the investment rate of return.</t>
  </si>
  <si>
    <t>Use Excel's Goal Seek function to calculate the Transportation off-site levy rate which ensures that developer contributions plus investment income are equal to the future value of capital cost/cash outflows by end of the model period.</t>
  </si>
  <si>
    <t>A</t>
  </si>
  <si>
    <t>B</t>
  </si>
  <si>
    <t>C</t>
  </si>
  <si>
    <t>D</t>
  </si>
  <si>
    <t>E</t>
  </si>
  <si>
    <t>F</t>
  </si>
  <si>
    <t>G</t>
  </si>
  <si>
    <t>H</t>
  </si>
  <si>
    <t>Dollars</t>
  </si>
  <si>
    <t>Hectares</t>
  </si>
  <si>
    <t>Discount</t>
  </si>
  <si>
    <t>Current Cost</t>
  </si>
  <si>
    <t>Benefit %</t>
  </si>
  <si>
    <t>Leviable cost</t>
  </si>
  <si>
    <t>Year Projected project built</t>
  </si>
  <si>
    <t xml:space="preserve">Belmont Fire Station </t>
  </si>
  <si>
    <t>Livingstone Fire station</t>
  </si>
  <si>
    <t>Belvedere Fire Station</t>
  </si>
  <si>
    <t xml:space="preserve">Glacier Ridge Fire station </t>
  </si>
  <si>
    <t xml:space="preserve">Nose Creek Fire Station </t>
  </si>
  <si>
    <t xml:space="preserve">Haskayne Fire Station </t>
  </si>
  <si>
    <t xml:space="preserve">Providence Fire Station </t>
  </si>
  <si>
    <t xml:space="preserve">Rangeview Fire Station </t>
  </si>
  <si>
    <t>South Shepard Fire Station</t>
  </si>
  <si>
    <t xml:space="preserve">Westview Fire Station </t>
  </si>
  <si>
    <t>Future value of capital projects</t>
  </si>
  <si>
    <t>Dicounted Amount</t>
  </si>
  <si>
    <t>Contribution</t>
  </si>
  <si>
    <t>Income</t>
  </si>
  <si>
    <t>Rate/Ha</t>
  </si>
  <si>
    <t>% increase</t>
  </si>
  <si>
    <t>Fire - Unlevied Land</t>
  </si>
  <si>
    <t>This tab provides background on different benefiting areas: the Established Area, unlevied land, and land that has already been levied.</t>
  </si>
  <si>
    <t>Map 1. Off-Site levy Established Area boundary and Greenfield Area as of the end of 2022</t>
  </si>
  <si>
    <t>Map 1 to the right illustrates The City's Established Area, and Greenfield Area.
The Established Area boundary was identified in the 2016 Off-site Levy Bylaw and contains lands that are fully developed, or have executed development agreement to allow future development. The purpose of the boundary is to determine benefiting areas in support of levy rate calculations (established or greenfield) for different parts of the city.
Land shown in green includes both greenfield lands that have already been levied, unlevied, and non-developable land. Non-developable land is excluded from the determination of the number of hectares that have been levied or unlevied. This includes, for example:
	• The Transportation Utility Corridor (TUC), or road right-of-way for provincial expressways.
	• Environmental Reserve (slopes with a grade greater than 15%, natural water bodies, areas impacted by a 1:100 year flood).
	• Landfills.
	• Cemeteries.</t>
  </si>
  <si>
    <t>Fire - Infrastructure</t>
  </si>
  <si>
    <t>This tab shows the basis of the calculation and assumptions used in assessing infrastructure allocation.</t>
  </si>
  <si>
    <t>Per facility capacity</t>
  </si>
  <si>
    <t>Number of emergency response stations and their location are determined to meet response time requirement of the City.</t>
  </si>
  <si>
    <t>Capacity allocation</t>
  </si>
  <si>
    <t>Future greenfield population will be 100% benefitting with existing and future Fire infrastructure in the green area</t>
  </si>
  <si>
    <t>Construction year</t>
  </si>
  <si>
    <t>Determined based on when the new facility will be required as related to the pace of population growth</t>
  </si>
  <si>
    <t>Future need of facility and cost analysis</t>
  </si>
  <si>
    <t>Facility</t>
  </si>
  <si>
    <t>Number of facilities needed</t>
  </si>
  <si>
    <t>Per facility cost</t>
  </si>
  <si>
    <t>Year Built - Estimate</t>
  </si>
  <si>
    <t>Year in numbers</t>
  </si>
  <si>
    <t xml:space="preserve">West View Fire Station </t>
  </si>
  <si>
    <t>Shepard Industrial Station</t>
  </si>
  <si>
    <t>Fire Infrastructure Cost Estimates, 2023</t>
  </si>
  <si>
    <t>2 Bay Station</t>
  </si>
  <si>
    <t xml:space="preserve">Cost </t>
  </si>
  <si>
    <t>Notes</t>
  </si>
  <si>
    <t>Building Construction</t>
  </si>
  <si>
    <t>13000 square feet</t>
  </si>
  <si>
    <t>Land (Serviced)</t>
  </si>
  <si>
    <t>1.5 Acres</t>
  </si>
  <si>
    <t>Apparatus</t>
  </si>
  <si>
    <t>Equipment</t>
  </si>
  <si>
    <t>Total Costs</t>
  </si>
  <si>
    <t xml:space="preserve">3 Bay Station </t>
  </si>
  <si>
    <t>15000 square feet</t>
  </si>
  <si>
    <t>2 Acres</t>
  </si>
  <si>
    <t>Two Apparatus</t>
  </si>
  <si>
    <t xml:space="preserve">4 Bay Station </t>
  </si>
  <si>
    <t>17500 square feet</t>
  </si>
  <si>
    <t>2.5 Acres</t>
  </si>
  <si>
    <t>Three Apparatus</t>
  </si>
  <si>
    <t>Fire - Benefit Allocation</t>
  </si>
  <si>
    <t>Benefit measurement:</t>
  </si>
  <si>
    <t>Recreation facilities benefit is measured using the share of population in benefiting areas.</t>
  </si>
  <si>
    <t>Benefiting Areas include:</t>
  </si>
  <si>
    <r>
      <rPr>
        <b/>
        <sz val="11"/>
        <color rgb="FF000000"/>
        <rFont val="Arial"/>
      </rPr>
      <t xml:space="preserve">Greenfield only: </t>
    </r>
    <r>
      <rPr>
        <sz val="11"/>
        <color rgb="FF000000"/>
        <rFont val="Arial"/>
      </rPr>
      <t>projects that support Area Structure Plans (ASPs) outside the established area boundary.  The service level for the greenfield is comparable with the service level in the established area. 100% of benefit is assigned to the greenfield ASP lands, and is split based on the forecast population in lands that have already signed development agreements and paid off-site levies (levied lands), and lands that have not yet signed development agreements and paid off-site levies (unlevied lands).</t>
    </r>
  </si>
  <si>
    <t>Data Source:</t>
  </si>
  <si>
    <r>
      <rPr>
        <b/>
        <sz val="11"/>
        <color theme="1"/>
        <rFont val="Arial"/>
        <family val="2"/>
      </rPr>
      <t xml:space="preserve">Source: </t>
    </r>
    <r>
      <rPr>
        <sz val="11"/>
        <color theme="1"/>
        <rFont val="Arial"/>
        <family val="2"/>
      </rPr>
      <t>Calgary Next 20: Population, Employment and Housing Projections, 2021, by Applications Management Consulting Ltd.
A buildout forecast of population based on current growth trends.</t>
    </r>
  </si>
  <si>
    <t>Source Data Details and Assumptions</t>
  </si>
  <si>
    <t>•	 The forecast period for population and jobs ends in 2076.
•	 All the unlevied ASP land absorbed (development agreement executed) by 2055.
•	 Population and job forecasts are assessed by Transportation Zones (TZ's). Transportation Zones provide a useful and reasonable geographic division for forecasting.
•	 Population densities are assumed to be even throughout transportation zones, e.g. where part of a TZ has paid levies, and part has not.</t>
  </si>
  <si>
    <t>Benefit Allocation Calculation</t>
  </si>
  <si>
    <t xml:space="preserve"> Benefit = (Sum of forecast population and jobs in all unlevied lands within future emergency response station coverage area/ (Sum of forecast population and jobs in the coverage area of emergency response station)</t>
  </si>
  <si>
    <t>#</t>
  </si>
  <si>
    <t>Project Name / Greenfield Fire Stations</t>
  </si>
  <si>
    <t>Primary Benefitting Area (by Planning Policy)</t>
  </si>
  <si>
    <t>Future Population/Jobs
 (Dispersed/full build out in 60 years)</t>
  </si>
  <si>
    <t>Previously Levied Land</t>
  </si>
  <si>
    <t>Unlevied Land (ASP)</t>
  </si>
  <si>
    <t xml:space="preserve">Population </t>
  </si>
  <si>
    <t>%</t>
  </si>
  <si>
    <t xml:space="preserve">Belvedere Fire Station </t>
  </si>
  <si>
    <t xml:space="preserve">Belvedere ASP </t>
  </si>
  <si>
    <t>Glacier Ridge Fire Station</t>
  </si>
  <si>
    <t xml:space="preserve">Glacier Ridge ASP </t>
  </si>
  <si>
    <t>Nose Creek Fire Station</t>
  </si>
  <si>
    <t>Nose Creek ASP / Keystone Hills ASP</t>
  </si>
  <si>
    <t>Providence Fire Station</t>
  </si>
  <si>
    <t>Providence ASP</t>
  </si>
  <si>
    <t>Rangeview Fire Station</t>
  </si>
  <si>
    <t>Rangeview ASP /  Ricardo Ranch ASP</t>
  </si>
  <si>
    <t>South Shepard ASP</t>
  </si>
  <si>
    <t>West View Fire Station</t>
  </si>
  <si>
    <t>West View ASP</t>
  </si>
  <si>
    <t>Shepard Industrial ASP</t>
  </si>
  <si>
    <t>Fire OSL Financial Rate Model</t>
  </si>
  <si>
    <t>Fire Levy Rate</t>
  </si>
  <si>
    <t>End Value (CELL AS42):</t>
  </si>
  <si>
    <t>Section 1: Expenditures</t>
  </si>
  <si>
    <t>Project Name</t>
  </si>
  <si>
    <t>Capital Cost</t>
  </si>
  <si>
    <t>Benefit Type</t>
  </si>
  <si>
    <t>Unlevied cost</t>
  </si>
  <si>
    <t>Previously Levied/ City Share of Cost</t>
  </si>
  <si>
    <t>Year Projected project start</t>
  </si>
  <si>
    <t>Greenfield</t>
  </si>
  <si>
    <t>Rates used to calculate Future Value and Present Value of Unlevied Cost:</t>
  </si>
  <si>
    <t>Future value of Unlevied Cost</t>
  </si>
  <si>
    <t>Discounted value of Unlevied Cost</t>
  </si>
  <si>
    <t>Section 2: Land Absorption and Yearly Cash Flows</t>
  </si>
  <si>
    <t>Hectares that sign development agreements (DA's)</t>
  </si>
  <si>
    <t>Year</t>
  </si>
  <si>
    <t>Unlevied Hectares</t>
  </si>
  <si>
    <t>Cumulative Hectares</t>
  </si>
  <si>
    <t>Planned Unlevied Hectares at Jan 1, 2023</t>
  </si>
  <si>
    <t>Subtotal</t>
  </si>
  <si>
    <t>Forecast hectares in executed DA's</t>
  </si>
  <si>
    <t>Denominator: Unlevied Hectares at Jan 1, 2024</t>
  </si>
  <si>
    <t>Yearly Cash-flow Analysis ($):</t>
  </si>
  <si>
    <t xml:space="preserve">Hectares in executed DA's from 2023 to 2027 are per Corporate Economics Fall 2022 forecast. The remaining 7,791 hectares of unlevied land are assumed to be absorbed in a slowly decreasing trend, with approximately 2.54 ha fewer per year. </t>
  </si>
  <si>
    <t>Contributions from signed DA's</t>
  </si>
  <si>
    <t>Beginning Account Balance, $</t>
  </si>
  <si>
    <t>2026 &amp; 2027</t>
  </si>
  <si>
    <t>Levy payment schedule after a DA is signed.</t>
  </si>
  <si>
    <t>Year 0</t>
  </si>
  <si>
    <t>2028 - 2055</t>
  </si>
  <si>
    <t>Declining</t>
  </si>
  <si>
    <t>Year 1</t>
  </si>
  <si>
    <t>Year 2</t>
  </si>
  <si>
    <t>Year 3</t>
  </si>
  <si>
    <t>Investment Income (Interest Expense), $</t>
  </si>
  <si>
    <t>Future value of cash inflows, $</t>
  </si>
  <si>
    <t>Ending account balance, $</t>
  </si>
  <si>
    <t>Note: Cash flow timing is for inflows, 1=beginning of year; 0.5 is straight line; 0.0 is end of year. This is used to calculate investment income on expenditures within a given year.</t>
  </si>
  <si>
    <t>Cashflow Timing Factor</t>
  </si>
  <si>
    <t>End of WP</t>
  </si>
  <si>
    <t>Fire OSL Continuity</t>
  </si>
  <si>
    <t>This sheet is for information purposes only. It shows the continuity of expenditures, developer contributions, investment income, and fund balances for both the 2016 and 2024 Off-site Levies bylaws. Any final investment income earned in the final year will be applied to expenditures in that year.</t>
  </si>
  <si>
    <t>Light green references the 2016 bylaw</t>
  </si>
  <si>
    <t>Light orange references the 2024 bylaw</t>
  </si>
  <si>
    <t>2024 Levy Rate</t>
  </si>
  <si>
    <t>Year #</t>
  </si>
  <si>
    <t>Expenditures ($)</t>
  </si>
  <si>
    <t>Supports projects in progress.</t>
  </si>
  <si>
    <t>Committed/Future OSL Expenditures (2016 Bylaw)</t>
  </si>
  <si>
    <t>Expenditures from 2024 Bylaw</t>
  </si>
  <si>
    <t>Remainder: needed from other sources</t>
  </si>
  <si>
    <t>TOTAL:</t>
  </si>
  <si>
    <t>Expenditures from 2M2016 Bylaw Balance</t>
  </si>
  <si>
    <t>Expenditures from Non-OSL City Funding Sources</t>
  </si>
  <si>
    <t>Land Absorption (hectares) and DA Contributions ($)</t>
  </si>
  <si>
    <r>
      <rPr>
        <b/>
        <sz val="11"/>
        <color theme="1"/>
        <rFont val="Arial"/>
      </rPr>
      <t>Land absorption forecast and developer contributions</t>
    </r>
    <r>
      <rPr>
        <sz val="11"/>
        <color theme="1"/>
        <rFont val="Arial"/>
      </rPr>
      <t xml:space="preserve"> under each bylaw. The contribution values feed into the payment schedule below.</t>
    </r>
  </si>
  <si>
    <t>Land Absorption (ha's)</t>
  </si>
  <si>
    <t>Levy Rates under the 2016 bylaw</t>
  </si>
  <si>
    <t>Contributions from signed DA's - 2016 Levy</t>
  </si>
  <si>
    <t>Contributions from signed DA's - 2024 Levy</t>
  </si>
  <si>
    <t>Yearly Cash Flows ($)</t>
  </si>
  <si>
    <r>
      <t xml:space="preserve">The </t>
    </r>
    <r>
      <rPr>
        <b/>
        <sz val="11"/>
        <color theme="1"/>
        <rFont val="Arial"/>
      </rPr>
      <t xml:space="preserve">opening balance </t>
    </r>
    <r>
      <rPr>
        <sz val="11"/>
        <color theme="1"/>
        <rFont val="Arial"/>
      </rPr>
      <t>takes the closing balance from the prior year.</t>
    </r>
  </si>
  <si>
    <t>Opening Balance - 2016 Bylaw</t>
  </si>
  <si>
    <t>Opening Balance - 2024 Bylaw</t>
  </si>
  <si>
    <r>
      <t xml:space="preserve">Payment schedule from signed DA's. </t>
    </r>
    <r>
      <rPr>
        <sz val="11"/>
        <color theme="1"/>
        <rFont val="Arial"/>
      </rPr>
      <t>Payments from DA's signed under the 2016 bylaw are shown in green, from the 2024 bylaw in orange.</t>
    </r>
  </si>
  <si>
    <r>
      <t xml:space="preserve">Investment Income: </t>
    </r>
    <r>
      <rPr>
        <sz val="11"/>
        <color theme="1"/>
        <rFont val="Arial"/>
      </rPr>
      <t>shown for each bylaw separately.</t>
    </r>
  </si>
  <si>
    <t>Investment Income - 2016 Bylaw</t>
  </si>
  <si>
    <t>Investment Income - 2024 Bylaw</t>
  </si>
  <si>
    <r>
      <t xml:space="preserve">Closing Balances </t>
    </r>
    <r>
      <rPr>
        <sz val="11"/>
        <color theme="1"/>
        <rFont val="Arial"/>
      </rPr>
      <t>=</t>
    </r>
    <r>
      <rPr>
        <b/>
        <sz val="11"/>
        <color theme="1"/>
        <rFont val="Arial"/>
      </rPr>
      <t xml:space="preserve"> </t>
    </r>
    <r>
      <rPr>
        <sz val="11"/>
        <color theme="1"/>
        <rFont val="Arial"/>
      </rPr>
      <t>Starting balance + contributions + investment income - expenditures</t>
    </r>
  </si>
  <si>
    <t>Closing Balance - 2016 Bylaw</t>
  </si>
  <si>
    <t>Closing Balance - 2024 Bylaw</t>
  </si>
  <si>
    <t>The Escalation factor of 3.58% is a 5 year smoothed average, determined using Non-residential Construction Price Index (CPI) for Calgary from 1981 - 2022, excluding 4 years of hyper inflationary period in Calgary from 2006 -2009.</t>
  </si>
  <si>
    <t>The discount rate of 4.29% is based on asset mix of the investments held on the capital deposits and the Long term Capital Market assumptions that City uses in projecting returns from investment portfolios</t>
  </si>
  <si>
    <t>Leviable Ha</t>
  </si>
  <si>
    <t>Leviable hectares are determined by Corportate economics from 2024 to 2026 and 2027 forward is deterrmined by dividing the planned hectares to the remaining hectares.</t>
  </si>
  <si>
    <t>Development schedule</t>
  </si>
  <si>
    <t>Assumptions are built around the development schedule of the fire stations which can change based on developing communities.</t>
  </si>
  <si>
    <t>Benefit Rate</t>
  </si>
  <si>
    <t xml:space="preserve">Benefit rate calculations consider the land that will benefit from infrastructure and then tie back to the estimated future residents/jobs in that land. </t>
  </si>
  <si>
    <t>Collection schedule</t>
  </si>
  <si>
    <t>This financial model considers that we start collecting from developers with the 3 year delay in collections after the DA is signed.</t>
  </si>
  <si>
    <t>Steps to build Financial Model in Tab 3</t>
  </si>
  <si>
    <t>Step 1:</t>
  </si>
  <si>
    <t>Multiply the current capital cost to the benefit rate% to calculate the leviable cost.</t>
  </si>
  <si>
    <t>Step 2:</t>
  </si>
  <si>
    <t>Calculate the future value of leviable costs based on the required infrastructure build timeline.</t>
  </si>
  <si>
    <t>Step 3:</t>
  </si>
  <si>
    <t>Use the future value calculated above in Step 1 to recalculate the present value of that amount in the required infrastructure built year.</t>
  </si>
  <si>
    <t>Step 4:</t>
  </si>
  <si>
    <t>Use the present value of future cashflows calculated above in Step 2 to calculate the rate per hectare by dividing it by total hectares.</t>
  </si>
  <si>
    <t>Step 5:</t>
  </si>
  <si>
    <t>Multiply the rate calculated above in Step 4 by hectares developed each year in order to calculate the OSL contributions for each year.</t>
  </si>
  <si>
    <t>Step 6:</t>
  </si>
  <si>
    <t>Subtract the required infrastructure's future value of capital cost in the year it starts constructing.</t>
  </si>
  <si>
    <t>Step 7:</t>
  </si>
  <si>
    <t>Multiply the contributions by discount rate to calculate the investment income earned by The City of Calgary.</t>
  </si>
  <si>
    <t>Using this financial model, The City will charge reasonable rate per hectare and will be able to recoup any interest costs that they incur from using alternative funding sources for the required infrastructure development over the collection cycle.</t>
  </si>
  <si>
    <t>The contributions are based on rate that is escalated each year by discount factor. This is done to offset any opportunity income that The City of Calgary loses by providing payment plan to the developers instead of collecting all the cost upfront.</t>
  </si>
  <si>
    <r>
      <t xml:space="preserve">The levy rate calculation is being adjusted from the simple formula of </t>
    </r>
    <r>
      <rPr>
        <i/>
        <sz val="11"/>
        <color rgb="FF000000"/>
        <rFont val="Arial"/>
        <family val="2"/>
      </rPr>
      <t xml:space="preserve">Costs x Benefit / Land </t>
    </r>
    <r>
      <rPr>
        <sz val="11"/>
        <color rgb="FF000000"/>
        <rFont val="Arial"/>
        <family val="2"/>
      </rPr>
      <t xml:space="preserve">to the model described in Figure 1 to the right, and in the text below. 
This financial model uses the following inputs: 
• Total unlevied land, and annual land absorption.
• The off-site levy payment schedule.
• Total capital costs of new infrastructure being levied for, with the benefit allocations to determine total unlevied costs.
• Annual expenditures.
• An escalation factor to calculate the future value of project costs.
• A discount factor to calculate the discounted value of project costs, future revenue from developer contributions, and annual investment income or interest expense.
The levy rate is then calculated using Excel's Goal Seek function to find the levy rate that balances all expenditures and revenues over the course of the model to result in an off-site levy balance of $0.
</t>
    </r>
  </si>
  <si>
    <r>
      <rPr>
        <b/>
        <sz val="11"/>
        <color rgb="FF000000"/>
        <rFont val="Arial"/>
        <family val="2"/>
      </rPr>
      <t xml:space="preserve">How to calculate the levy rate: </t>
    </r>
    <r>
      <rPr>
        <sz val="11"/>
        <color rgb="FF000000"/>
        <rFont val="Arial"/>
        <family val="2"/>
      </rPr>
      <t xml:space="preserve">Once all variables have been set, the levy rate can be recalculated by entering running Excel's </t>
    </r>
    <r>
      <rPr>
        <i/>
        <sz val="11"/>
        <color rgb="FF000000"/>
        <rFont val="Arial"/>
        <family val="2"/>
      </rPr>
      <t xml:space="preserve">Goal Seek </t>
    </r>
    <r>
      <rPr>
        <sz val="11"/>
        <color rgb="FF000000"/>
        <rFont val="Arial"/>
        <family val="2"/>
      </rPr>
      <t>function (</t>
    </r>
    <r>
      <rPr>
        <i/>
        <sz val="11"/>
        <color rgb="FF000000"/>
        <rFont val="Arial"/>
        <family val="2"/>
      </rPr>
      <t>Data --&gt; What-If Analysis --&gt; Goal Seek</t>
    </r>
    <r>
      <rPr>
        <sz val="11"/>
        <color rgb="FF000000"/>
        <rFont val="Arial"/>
        <family val="2"/>
      </rPr>
      <t>) to calculate the levy rate in cell C3 by setting cell AS42 to 0 by changing the levy rate in cell C3. The model applies the value in cell C3 to the land absorption in row 29 to ensure that contributions from Development Agreements (in row 34) plus earned investment income offset total spending and ensure that the ending balance is zero (cell AS42), i.e. all revenues and spending have balanced. 
Variables impacting this calculation include: annual expenditures, land absorption rate (row 29), payment schedule (cells I36 to I39), and the escalation and discount rates (cells E25 and E26).</t>
    </r>
  </si>
  <si>
    <r>
      <rPr>
        <b/>
        <sz val="11"/>
        <color theme="4" tint="-0.249977111117893"/>
        <rFont val="Arial"/>
        <family val="2"/>
      </rPr>
      <t xml:space="preserve">Table: </t>
    </r>
    <r>
      <rPr>
        <sz val="11"/>
        <color theme="4" tint="-0.249977111117893"/>
        <rFont val="Arial"/>
        <family val="2"/>
      </rPr>
      <t xml:space="preserve">Escalation and Discount Rates. 
</t>
    </r>
    <r>
      <rPr>
        <b/>
        <sz val="11"/>
        <color theme="4" tint="-0.249977111117893"/>
        <rFont val="Arial"/>
        <family val="2"/>
      </rPr>
      <t xml:space="preserve">Source: City </t>
    </r>
    <r>
      <rPr>
        <sz val="11"/>
        <color theme="4" tint="-0.249977111117893"/>
        <rFont val="Arial"/>
        <family val="2"/>
      </rPr>
      <t>Treasury, March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</si>
</sst>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_(* #,##0.0_);_(* \(#,##0.0\);_(* &quot;-&quot;??_);_(@_)"/>
    <numFmt numFmtId="167" formatCode="#,##0.0"/>
    <numFmt numFmtId="168" formatCode="_(* #,##0.0_);_(* \(#,##0.0\);_(* &quot;-&quot;?_);_(@_)"/>
    <numFmt numFmtId="169" formatCode="0.0%"/>
    <numFmt numFmtId="170" formatCode="_([$$-409]* #,##0_);_([$$-409]* \(#,##0\);_([$$-409]* &quot;-&quot;??_);_(@_)"/>
  </numFmts>
  <fonts count="36"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sz val="8"/>
      <name val="Calibri"/>
      <family val="2"/>
      <scheme val="minor"/>
    </font>
    <font>
      <b/>
      <sz val="12"/>
      <color theme="1"/>
      <name val="Calibri"/>
      <family val="2"/>
      <scheme val="minor"/>
    </font>
    <font>
      <sz val="11"/>
      <color rgb="FFFF0000"/>
      <name val="Calibri"/>
      <family val="2"/>
      <scheme val="minor"/>
    </font>
    <font>
      <sz val="9"/>
      <color rgb="FFC00000"/>
      <name val="Arial"/>
      <family val="2"/>
    </font>
    <font>
      <sz val="11"/>
      <color rgb="FF305496"/>
      <name val="Calibri"/>
      <family val="2"/>
    </font>
    <font>
      <sz val="11"/>
      <color theme="4" tint="-0.249977111117893"/>
      <name val="Calibri"/>
      <family val="2"/>
      <scheme val="minor"/>
    </font>
    <font>
      <sz val="14"/>
      <color theme="1"/>
      <name val="Calibri"/>
      <family val="2"/>
      <scheme val="minor"/>
    </font>
    <font>
      <sz val="16"/>
      <color theme="1"/>
      <name val="Calibri"/>
      <family val="2"/>
      <scheme val="minor"/>
    </font>
    <font>
      <sz val="11"/>
      <color rgb="FF000000"/>
      <name val="Calibri"/>
      <family val="2"/>
      <scheme val="minor"/>
    </font>
    <font>
      <b/>
      <sz val="11"/>
      <color theme="1"/>
      <name val="Arial"/>
      <family val="2"/>
    </font>
    <font>
      <sz val="11"/>
      <name val="Arial"/>
      <family val="2"/>
    </font>
    <font>
      <b/>
      <sz val="11"/>
      <name val="Arial"/>
      <family val="2"/>
    </font>
    <font>
      <b/>
      <sz val="14"/>
      <color theme="1"/>
      <name val="Arial"/>
      <family val="2"/>
    </font>
    <font>
      <sz val="11"/>
      <color theme="4" tint="-0.249977111117893"/>
      <name val="Arial"/>
      <family val="2"/>
    </font>
    <font>
      <sz val="11"/>
      <color rgb="FF000000"/>
      <name val="Arial"/>
      <family val="2"/>
    </font>
    <font>
      <sz val="11"/>
      <color rgb="FF000000"/>
      <name val="Arial"/>
    </font>
    <font>
      <b/>
      <sz val="11"/>
      <color rgb="FF000000"/>
      <name val="Arial"/>
    </font>
    <font>
      <sz val="11"/>
      <color theme="1"/>
      <name val="Arial"/>
    </font>
    <font>
      <sz val="11"/>
      <color theme="4" tint="-0.249977111117893"/>
      <name val="Arial"/>
    </font>
    <font>
      <b/>
      <sz val="11"/>
      <color theme="1"/>
      <name val="Arial"/>
    </font>
    <font>
      <sz val="11"/>
      <name val="Arial"/>
    </font>
    <font>
      <b/>
      <sz val="11"/>
      <color rgb="FF0070C0"/>
      <name val="Arial"/>
    </font>
    <font>
      <sz val="10"/>
      <color theme="1"/>
      <name val="Arial"/>
      <family val="2"/>
    </font>
    <font>
      <sz val="14"/>
      <color theme="1"/>
      <name val="Arial"/>
      <family val="2"/>
    </font>
    <font>
      <sz val="14"/>
      <color theme="1"/>
      <name val="Arial"/>
    </font>
    <font>
      <sz val="14"/>
      <color rgb="FFFF0000"/>
      <name val="Calibri"/>
      <family val="2"/>
      <scheme val="minor"/>
    </font>
    <font>
      <b/>
      <sz val="12"/>
      <color theme="1"/>
      <name val="Arial"/>
      <family val="2"/>
    </font>
    <font>
      <i/>
      <sz val="11"/>
      <color rgb="FF000000"/>
      <name val="Arial"/>
      <family val="2"/>
    </font>
    <font>
      <b/>
      <sz val="11"/>
      <color rgb="FF000000"/>
      <name val="Arial"/>
      <family val="2"/>
    </font>
    <font>
      <sz val="11"/>
      <color rgb="FFFF0000"/>
      <name val="Arial"/>
      <family val="2"/>
    </font>
    <font>
      <b/>
      <sz val="11"/>
      <color theme="4" tint="-0.249977111117893"/>
      <name val="Arial"/>
      <family val="2"/>
    </font>
    <font>
      <b/>
      <sz val="11"/>
      <color rgb="FFFF0000"/>
      <name val="Arial"/>
      <family val="2"/>
    </font>
  </fonts>
  <fills count="1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1"/>
        <bgColor indexed="64"/>
      </patternFill>
    </fill>
    <fill>
      <patternFill patternType="solid">
        <fgColor theme="9" tint="0.59999389629810485"/>
        <bgColor indexed="64"/>
      </patternFill>
    </fill>
    <fill>
      <patternFill patternType="solid">
        <fgColor theme="2"/>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4" tint="0.59999389629810485"/>
        <bgColor indexed="64"/>
      </patternFill>
    </fill>
    <fill>
      <patternFill patternType="solid">
        <fgColor theme="9" tint="0.79998168889431442"/>
        <bgColor indexed="64"/>
      </patternFill>
    </fill>
    <fill>
      <patternFill patternType="solid">
        <fgColor theme="7" tint="0.59999389629810485"/>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style="thin">
        <color indexed="64"/>
      </right>
      <top style="medium">
        <color rgb="FFFF0000"/>
      </top>
      <bottom style="medium">
        <color rgb="FFFF0000"/>
      </bottom>
      <diagonal/>
    </border>
    <border>
      <left style="thin">
        <color rgb="FF0070C0"/>
      </left>
      <right style="thin">
        <color rgb="FF0070C0"/>
      </right>
      <top style="thin">
        <color rgb="FF0070C0"/>
      </top>
      <bottom style="thin">
        <color rgb="FF0070C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thin">
        <color auto="1"/>
      </bottom>
      <diagonal/>
    </border>
    <border>
      <left style="thin">
        <color rgb="FF0070C0"/>
      </left>
      <right style="thin">
        <color rgb="FF0070C0"/>
      </right>
      <top style="thin">
        <color auto="1"/>
      </top>
      <bottom style="thin">
        <color rgb="FF0070C0"/>
      </bottom>
      <diagonal/>
    </border>
    <border>
      <left style="thin">
        <color indexed="64"/>
      </left>
      <right style="thin">
        <color indexed="64"/>
      </right>
      <top/>
      <bottom style="thin">
        <color rgb="FF000000"/>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rgb="FF000000"/>
      </left>
      <right style="thin">
        <color rgb="FF000000"/>
      </right>
      <top style="medium">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medium">
        <color rgb="FF000000"/>
      </bottom>
      <diagonal/>
    </border>
    <border>
      <left style="thin">
        <color indexed="64"/>
      </left>
      <right/>
      <top style="medium">
        <color rgb="FF000000"/>
      </top>
      <bottom style="thin">
        <color indexed="64"/>
      </bottom>
      <diagonal/>
    </border>
    <border>
      <left style="thin">
        <color indexed="64"/>
      </left>
      <right/>
      <top style="thin">
        <color indexed="64"/>
      </top>
      <bottom style="medium">
        <color rgb="FF000000"/>
      </bottom>
      <diagonal/>
    </border>
    <border>
      <left/>
      <right style="thin">
        <color rgb="FF000000"/>
      </right>
      <top style="medium">
        <color rgb="FF000000"/>
      </top>
      <bottom style="thin">
        <color indexed="64"/>
      </bottom>
      <diagonal/>
    </border>
    <border>
      <left/>
      <right style="thin">
        <color rgb="FF000000"/>
      </right>
      <top style="thin">
        <color indexed="64"/>
      </top>
      <bottom style="thin">
        <color indexed="64"/>
      </bottom>
      <diagonal/>
    </border>
    <border>
      <left/>
      <right style="thin">
        <color rgb="FF000000"/>
      </right>
      <top style="thin">
        <color indexed="64"/>
      </top>
      <bottom style="medium">
        <color rgb="FF000000"/>
      </bottom>
      <diagonal/>
    </border>
    <border>
      <left/>
      <right style="medium">
        <color rgb="FF000000"/>
      </right>
      <top style="medium">
        <color rgb="FF000000"/>
      </top>
      <bottom style="thin">
        <color indexed="64"/>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indexed="64"/>
      </top>
      <bottom style="thin">
        <color indexed="64"/>
      </bottom>
      <diagonal/>
    </border>
    <border>
      <left style="medium">
        <color rgb="FF000000"/>
      </left>
      <right/>
      <top style="thin">
        <color indexed="64"/>
      </top>
      <bottom style="medium">
        <color rgb="FF000000"/>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right style="thin">
        <color indexed="64"/>
      </right>
      <top style="medium">
        <color rgb="FF000000"/>
      </top>
      <bottom style="thin">
        <color indexed="64"/>
      </bottom>
      <diagonal/>
    </border>
    <border>
      <left style="thin">
        <color indexed="64"/>
      </left>
      <right style="thin">
        <color rgb="FF000000"/>
      </right>
      <top style="medium">
        <color rgb="FF000000"/>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medium">
        <color rgb="FF000000"/>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445">
    <xf numFmtId="0" fontId="0" fillId="0" borderId="0" xfId="0"/>
    <xf numFmtId="0" fontId="0" fillId="0" borderId="0" xfId="0" applyAlignment="1">
      <alignment wrapText="1"/>
    </xf>
    <xf numFmtId="0" fontId="3" fillId="2" borderId="0" xfId="0" applyFont="1" applyFill="1"/>
    <xf numFmtId="43" fontId="0" fillId="0" borderId="0" xfId="1" applyFont="1"/>
    <xf numFmtId="164" fontId="0" fillId="0" borderId="0" xfId="1" applyNumberFormat="1" applyFont="1"/>
    <xf numFmtId="164" fontId="0" fillId="0" borderId="0" xfId="1" applyNumberFormat="1" applyFont="1" applyBorder="1"/>
    <xf numFmtId="10" fontId="0" fillId="0" borderId="0" xfId="0" applyNumberFormat="1"/>
    <xf numFmtId="0" fontId="0" fillId="4" borderId="4" xfId="0" applyFill="1" applyBorder="1"/>
    <xf numFmtId="8" fontId="0" fillId="0" borderId="0" xfId="0" applyNumberFormat="1"/>
    <xf numFmtId="0" fontId="0" fillId="0" borderId="0" xfId="0" applyAlignment="1">
      <alignment horizontal="center"/>
    </xf>
    <xf numFmtId="0" fontId="0" fillId="0" borderId="7" xfId="0" applyBorder="1"/>
    <xf numFmtId="44" fontId="0" fillId="0" borderId="0" xfId="2" applyFont="1"/>
    <xf numFmtId="165" fontId="0" fillId="0" borderId="0" xfId="2" applyNumberFormat="1" applyFont="1"/>
    <xf numFmtId="0" fontId="0" fillId="0" borderId="1" xfId="0" applyBorder="1"/>
    <xf numFmtId="0" fontId="0" fillId="0" borderId="0" xfId="0" applyAlignment="1">
      <alignment horizontal="right" wrapText="1"/>
    </xf>
    <xf numFmtId="164" fontId="0" fillId="6" borderId="4" xfId="1" applyNumberFormat="1" applyFont="1" applyFill="1" applyBorder="1"/>
    <xf numFmtId="164" fontId="0" fillId="0" borderId="10" xfId="1" applyNumberFormat="1" applyFont="1" applyBorder="1"/>
    <xf numFmtId="164" fontId="0" fillId="0" borderId="0" xfId="1" applyNumberFormat="1" applyFont="1" applyFill="1" applyBorder="1"/>
    <xf numFmtId="164" fontId="0" fillId="0" borderId="1" xfId="1" applyNumberFormat="1" applyFont="1" applyBorder="1"/>
    <xf numFmtId="0" fontId="0" fillId="0" borderId="9" xfId="0" applyBorder="1" applyAlignment="1">
      <alignment horizontal="left" vertical="top" wrapText="1"/>
    </xf>
    <xf numFmtId="0" fontId="0" fillId="0" borderId="6" xfId="0" applyBorder="1" applyAlignment="1">
      <alignment wrapText="1"/>
    </xf>
    <xf numFmtId="0" fontId="0" fillId="0" borderId="2" xfId="0" applyBorder="1" applyAlignment="1">
      <alignment wrapText="1"/>
    </xf>
    <xf numFmtId="0" fontId="0" fillId="0" borderId="7" xfId="0" applyBorder="1" applyAlignment="1">
      <alignment wrapText="1"/>
    </xf>
    <xf numFmtId="9" fontId="0" fillId="0" borderId="0" xfId="0" applyNumberFormat="1"/>
    <xf numFmtId="165" fontId="0" fillId="0" borderId="0" xfId="2" applyNumberFormat="1" applyFont="1" applyBorder="1"/>
    <xf numFmtId="164" fontId="0" fillId="0" borderId="0" xfId="0" applyNumberFormat="1"/>
    <xf numFmtId="0" fontId="0" fillId="0" borderId="11" xfId="0" applyBorder="1" applyAlignment="1">
      <alignment wrapText="1"/>
    </xf>
    <xf numFmtId="0" fontId="0" fillId="0" borderId="8" xfId="0" applyBorder="1" applyAlignment="1">
      <alignment wrapText="1"/>
    </xf>
    <xf numFmtId="0" fontId="0" fillId="0" borderId="0" xfId="0" applyAlignment="1">
      <alignment vertical="center"/>
    </xf>
    <xf numFmtId="0" fontId="0" fillId="0" borderId="0" xfId="0" applyAlignment="1">
      <alignment vertical="center" wrapText="1"/>
    </xf>
    <xf numFmtId="0" fontId="7" fillId="2" borderId="0" xfId="0" applyFont="1" applyFill="1"/>
    <xf numFmtId="0" fontId="0" fillId="2" borderId="0" xfId="0" applyFill="1"/>
    <xf numFmtId="0" fontId="8" fillId="0" borderId="0" xfId="0" applyFont="1"/>
    <xf numFmtId="0" fontId="6" fillId="2" borderId="0" xfId="0" applyFont="1" applyFill="1"/>
    <xf numFmtId="0" fontId="5" fillId="2" borderId="0" xfId="0" applyFont="1" applyFill="1"/>
    <xf numFmtId="10" fontId="0" fillId="2" borderId="0" xfId="0" applyNumberFormat="1" applyFill="1"/>
    <xf numFmtId="0" fontId="6" fillId="0" borderId="0" xfId="0" applyFont="1"/>
    <xf numFmtId="0" fontId="9" fillId="2" borderId="0" xfId="0" applyFont="1" applyFill="1" applyAlignment="1">
      <alignment vertical="center" wrapText="1"/>
    </xf>
    <xf numFmtId="0" fontId="11" fillId="0" borderId="0" xfId="0" applyFont="1"/>
    <xf numFmtId="9" fontId="0" fillId="2" borderId="0" xfId="3" applyFont="1" applyFill="1"/>
    <xf numFmtId="0" fontId="9" fillId="2" borderId="13" xfId="0" applyFont="1" applyFill="1" applyBorder="1" applyAlignment="1">
      <alignment wrapText="1"/>
    </xf>
    <xf numFmtId="164" fontId="0" fillId="2" borderId="0" xfId="1" applyNumberFormat="1" applyFont="1" applyFill="1"/>
    <xf numFmtId="0" fontId="12" fillId="0" borderId="0" xfId="0" applyFont="1"/>
    <xf numFmtId="0" fontId="9" fillId="2" borderId="13" xfId="0" applyFont="1" applyFill="1" applyBorder="1" applyAlignment="1">
      <alignment horizontal="left" wrapText="1"/>
    </xf>
    <xf numFmtId="0" fontId="13" fillId="2" borderId="0" xfId="0" applyFont="1" applyFill="1"/>
    <xf numFmtId="0" fontId="3" fillId="2" borderId="1" xfId="0" applyFont="1" applyFill="1" applyBorder="1" applyAlignment="1">
      <alignment vertical="center"/>
    </xf>
    <xf numFmtId="0" fontId="3" fillId="0" borderId="0" xfId="0" applyFont="1"/>
    <xf numFmtId="0" fontId="3" fillId="2" borderId="1" xfId="0" applyFont="1" applyFill="1" applyBorder="1" applyAlignment="1">
      <alignment vertical="center" wrapText="1"/>
    </xf>
    <xf numFmtId="0" fontId="13" fillId="13" borderId="1" xfId="0" applyFont="1" applyFill="1" applyBorder="1"/>
    <xf numFmtId="0" fontId="3" fillId="0" borderId="0" xfId="0" applyFont="1" applyAlignment="1">
      <alignment vertical="center" wrapText="1"/>
    </xf>
    <xf numFmtId="0" fontId="3" fillId="0" borderId="0" xfId="0" applyFont="1" applyAlignment="1">
      <alignment vertical="center"/>
    </xf>
    <xf numFmtId="0" fontId="3" fillId="0" borderId="6" xfId="0" applyFont="1" applyBorder="1" applyAlignment="1">
      <alignment horizontal="left" vertical="center" wrapText="1"/>
    </xf>
    <xf numFmtId="0" fontId="3" fillId="0" borderId="15" xfId="0" applyFont="1" applyBorder="1" applyAlignment="1">
      <alignment vertical="center" wrapText="1"/>
    </xf>
    <xf numFmtId="0" fontId="3" fillId="0" borderId="6" xfId="0" applyFont="1" applyBorder="1" applyAlignment="1">
      <alignment vertical="center" wrapText="1"/>
    </xf>
    <xf numFmtId="0" fontId="3" fillId="0" borderId="6" xfId="0" applyFont="1" applyBorder="1" applyAlignment="1">
      <alignment vertical="center"/>
    </xf>
    <xf numFmtId="0" fontId="3" fillId="0" borderId="11" xfId="0" applyFont="1" applyBorder="1" applyAlignment="1">
      <alignment vertical="center" wrapText="1"/>
    </xf>
    <xf numFmtId="0" fontId="3" fillId="0" borderId="12" xfId="0" applyFont="1" applyBorder="1" applyAlignment="1">
      <alignment vertical="center" wrapText="1"/>
    </xf>
    <xf numFmtId="0" fontId="13" fillId="0" borderId="0" xfId="0" applyFont="1"/>
    <xf numFmtId="0" fontId="13" fillId="5" borderId="1" xfId="0" applyFont="1" applyFill="1" applyBorder="1" applyAlignment="1">
      <alignment horizontal="center"/>
    </xf>
    <xf numFmtId="0" fontId="13" fillId="0" borderId="1" xfId="0" applyFont="1" applyBorder="1" applyAlignment="1">
      <alignment horizontal="center"/>
    </xf>
    <xf numFmtId="0" fontId="13" fillId="5" borderId="1" xfId="0" applyFont="1" applyFill="1" applyBorder="1" applyAlignment="1">
      <alignment horizontal="center" vertical="top" wrapText="1"/>
    </xf>
    <xf numFmtId="0" fontId="13" fillId="0" borderId="1" xfId="0" applyFont="1" applyBorder="1" applyAlignment="1">
      <alignment horizontal="center" vertical="top" wrapText="1"/>
    </xf>
    <xf numFmtId="164" fontId="3" fillId="5" borderId="7" xfId="1" applyNumberFormat="1" applyFont="1" applyFill="1" applyBorder="1" applyAlignment="1">
      <alignment horizontal="center"/>
    </xf>
    <xf numFmtId="164" fontId="3" fillId="5" borderId="7" xfId="1" applyNumberFormat="1" applyFont="1" applyFill="1" applyBorder="1"/>
    <xf numFmtId="164" fontId="3" fillId="0" borderId="7" xfId="1" applyNumberFormat="1" applyFont="1" applyFill="1" applyBorder="1"/>
    <xf numFmtId="0" fontId="3" fillId="5" borderId="7" xfId="0" applyFont="1" applyFill="1" applyBorder="1"/>
    <xf numFmtId="0" fontId="3" fillId="0" borderId="7" xfId="0" applyFont="1" applyBorder="1"/>
    <xf numFmtId="0" fontId="3" fillId="5" borderId="8" xfId="0" applyFont="1" applyFill="1" applyBorder="1"/>
    <xf numFmtId="0" fontId="3" fillId="0" borderId="8" xfId="0" applyFont="1" applyBorder="1"/>
    <xf numFmtId="0" fontId="13" fillId="0" borderId="0" xfId="0" applyFont="1" applyAlignment="1">
      <alignment horizontal="center" vertical="center" wrapText="1"/>
    </xf>
    <xf numFmtId="0" fontId="13" fillId="0" borderId="9" xfId="0" applyFont="1" applyBorder="1" applyAlignment="1">
      <alignment vertical="center" wrapText="1"/>
    </xf>
    <xf numFmtId="0" fontId="13" fillId="0" borderId="6" xfId="0" applyFont="1" applyBorder="1" applyAlignment="1">
      <alignment vertical="center" wrapText="1"/>
    </xf>
    <xf numFmtId="0" fontId="13" fillId="0" borderId="0" xfId="0" applyFont="1" applyAlignment="1">
      <alignment horizontal="left" vertical="center" wrapText="1"/>
    </xf>
    <xf numFmtId="42" fontId="13" fillId="0" borderId="0" xfId="0" applyNumberFormat="1" applyFont="1" applyAlignment="1">
      <alignment horizontal="center" vertical="center" wrapText="1"/>
    </xf>
    <xf numFmtId="3" fontId="13" fillId="0" borderId="0" xfId="0" applyNumberFormat="1" applyFont="1" applyAlignment="1">
      <alignment horizontal="center" vertical="center" wrapText="1"/>
    </xf>
    <xf numFmtId="3"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3" fontId="13" fillId="15" borderId="2" xfId="0" applyNumberFormat="1" applyFont="1" applyFill="1" applyBorder="1" applyAlignment="1">
      <alignment horizontal="center" vertical="center" wrapText="1"/>
    </xf>
    <xf numFmtId="0" fontId="3" fillId="0" borderId="4" xfId="0" applyFont="1" applyBorder="1"/>
    <xf numFmtId="165" fontId="3" fillId="0" borderId="5" xfId="2" applyNumberFormat="1" applyFont="1" applyBorder="1"/>
    <xf numFmtId="0" fontId="9" fillId="0" borderId="0" xfId="0" applyFont="1" applyAlignment="1">
      <alignment vertical="top"/>
    </xf>
    <xf numFmtId="170" fontId="13" fillId="0" borderId="0" xfId="0" applyNumberFormat="1" applyFont="1" applyAlignment="1">
      <alignment horizontal="center" vertical="center" wrapText="1"/>
    </xf>
    <xf numFmtId="0" fontId="3" fillId="0" borderId="1" xfId="0" applyFont="1" applyBorder="1" applyAlignment="1">
      <alignment vertical="center"/>
    </xf>
    <xf numFmtId="0" fontId="14" fillId="2" borderId="0" xfId="0" applyFont="1" applyFill="1" applyAlignment="1">
      <alignment horizontal="right"/>
    </xf>
    <xf numFmtId="166" fontId="14" fillId="2" borderId="15" xfId="1" applyNumberFormat="1" applyFont="1" applyFill="1" applyBorder="1" applyAlignment="1">
      <alignment horizontal="right"/>
    </xf>
    <xf numFmtId="0" fontId="21" fillId="0" borderId="0" xfId="0" applyFont="1"/>
    <xf numFmtId="0" fontId="21" fillId="0" borderId="0" xfId="0" applyFont="1" applyAlignment="1">
      <alignment horizontal="center"/>
    </xf>
    <xf numFmtId="0" fontId="21" fillId="0" borderId="0" xfId="0" applyFont="1" applyAlignment="1">
      <alignment horizontal="left"/>
    </xf>
    <xf numFmtId="0" fontId="22" fillId="0" borderId="0" xfId="0" applyFont="1" applyAlignment="1">
      <alignment vertical="top" wrapText="1"/>
    </xf>
    <xf numFmtId="0" fontId="22" fillId="16" borderId="0" xfId="0" applyFont="1" applyFill="1" applyAlignment="1">
      <alignment vertical="top"/>
    </xf>
    <xf numFmtId="0" fontId="22" fillId="17" borderId="0" xfId="0" applyFont="1" applyFill="1" applyAlignment="1">
      <alignment vertical="top" wrapText="1"/>
    </xf>
    <xf numFmtId="167" fontId="23" fillId="9" borderId="22" xfId="0" applyNumberFormat="1" applyFont="1" applyFill="1" applyBorder="1" applyAlignment="1">
      <alignment horizontal="right"/>
    </xf>
    <xf numFmtId="0" fontId="23" fillId="0" borderId="0" xfId="0" applyFont="1"/>
    <xf numFmtId="165" fontId="23" fillId="9" borderId="23" xfId="2" applyNumberFormat="1" applyFont="1" applyFill="1" applyBorder="1" applyAlignment="1">
      <alignment horizontal="right"/>
    </xf>
    <xf numFmtId="0" fontId="21" fillId="2" borderId="0" xfId="0" applyFont="1" applyFill="1" applyAlignment="1">
      <alignment horizontal="left"/>
    </xf>
    <xf numFmtId="0" fontId="21" fillId="2" borderId="0" xfId="0" applyFont="1" applyFill="1"/>
    <xf numFmtId="0" fontId="21" fillId="2" borderId="0" xfId="0" applyFont="1" applyFill="1" applyAlignment="1">
      <alignment horizontal="center"/>
    </xf>
    <xf numFmtId="0" fontId="21" fillId="3" borderId="0" xfId="0" applyFont="1" applyFill="1"/>
    <xf numFmtId="0" fontId="21" fillId="3" borderId="0" xfId="0" applyFont="1" applyFill="1" applyAlignment="1">
      <alignment horizontal="center"/>
    </xf>
    <xf numFmtId="0" fontId="21" fillId="0" borderId="4" xfId="0" applyFont="1" applyBorder="1" applyAlignment="1">
      <alignment horizontal="left"/>
    </xf>
    <xf numFmtId="0" fontId="21" fillId="16" borderId="4" xfId="0" applyFont="1" applyFill="1" applyBorder="1" applyAlignment="1">
      <alignment horizontal="left"/>
    </xf>
    <xf numFmtId="0" fontId="21" fillId="16" borderId="4" xfId="0" applyFont="1" applyFill="1" applyBorder="1"/>
    <xf numFmtId="3" fontId="21" fillId="16" borderId="4" xfId="0" applyNumberFormat="1" applyFont="1" applyFill="1" applyBorder="1" applyAlignment="1">
      <alignment horizontal="center"/>
    </xf>
    <xf numFmtId="3" fontId="21" fillId="16" borderId="4" xfId="0" applyNumberFormat="1" applyFont="1" applyFill="1" applyBorder="1" applyAlignment="1">
      <alignment horizontal="right"/>
    </xf>
    <xf numFmtId="3" fontId="24" fillId="16" borderId="4" xfId="1" applyNumberFormat="1" applyFont="1" applyFill="1" applyBorder="1" applyAlignment="1">
      <alignment horizontal="right"/>
    </xf>
    <xf numFmtId="3" fontId="21" fillId="0" borderId="0" xfId="0" applyNumberFormat="1" applyFont="1" applyAlignment="1">
      <alignment horizontal="center"/>
    </xf>
    <xf numFmtId="3" fontId="21" fillId="0" borderId="0" xfId="0" applyNumberFormat="1" applyFont="1" applyAlignment="1">
      <alignment horizontal="right"/>
    </xf>
    <xf numFmtId="3" fontId="24" fillId="0" borderId="0" xfId="1" applyNumberFormat="1" applyFont="1" applyFill="1" applyBorder="1" applyAlignment="1">
      <alignment horizontal="right"/>
    </xf>
    <xf numFmtId="0" fontId="21" fillId="0" borderId="0" xfId="0" applyFont="1" applyAlignment="1">
      <alignment horizontal="right"/>
    </xf>
    <xf numFmtId="0" fontId="21" fillId="0" borderId="15" xfId="0" applyFont="1" applyBorder="1" applyAlignment="1">
      <alignment horizontal="center"/>
    </xf>
    <xf numFmtId="164" fontId="21" fillId="0" borderId="0" xfId="1" applyNumberFormat="1" applyFont="1" applyBorder="1" applyAlignment="1">
      <alignment horizontal="center"/>
    </xf>
    <xf numFmtId="0" fontId="21" fillId="17" borderId="0" xfId="0" applyFont="1" applyFill="1" applyAlignment="1">
      <alignment horizontal="left"/>
    </xf>
    <xf numFmtId="0" fontId="21" fillId="17" borderId="0" xfId="0" applyFont="1" applyFill="1"/>
    <xf numFmtId="169" fontId="21" fillId="17" borderId="0" xfId="3" applyNumberFormat="1" applyFont="1" applyFill="1"/>
    <xf numFmtId="164" fontId="21" fillId="17" borderId="0" xfId="1" applyNumberFormat="1" applyFont="1" applyFill="1" applyAlignment="1">
      <alignment horizontal="center"/>
    </xf>
    <xf numFmtId="164" fontId="21" fillId="17" borderId="0" xfId="1" applyNumberFormat="1" applyFont="1" applyFill="1" applyAlignment="1">
      <alignment horizontal="right"/>
    </xf>
    <xf numFmtId="0" fontId="21" fillId="3" borderId="0" xfId="0" applyFont="1" applyFill="1" applyAlignment="1">
      <alignment horizontal="left"/>
    </xf>
    <xf numFmtId="164" fontId="23" fillId="3" borderId="0" xfId="1" applyNumberFormat="1" applyFont="1" applyFill="1" applyAlignment="1">
      <alignment horizontal="center"/>
    </xf>
    <xf numFmtId="164" fontId="23" fillId="3" borderId="0" xfId="1" applyNumberFormat="1" applyFont="1" applyFill="1" applyAlignment="1">
      <alignment horizontal="right"/>
    </xf>
    <xf numFmtId="0" fontId="23" fillId="0" borderId="0" xfId="0" applyFont="1" applyAlignment="1">
      <alignment horizontal="left"/>
    </xf>
    <xf numFmtId="164" fontId="21" fillId="0" borderId="0" xfId="1" applyNumberFormat="1" applyFont="1" applyBorder="1" applyAlignment="1">
      <alignment horizontal="right"/>
    </xf>
    <xf numFmtId="0" fontId="21" fillId="16" borderId="0" xfId="0" applyFont="1" applyFill="1" applyAlignment="1">
      <alignment horizontal="right"/>
    </xf>
    <xf numFmtId="0" fontId="21" fillId="16" borderId="0" xfId="0" applyFont="1" applyFill="1"/>
    <xf numFmtId="164" fontId="21" fillId="16" borderId="0" xfId="1" applyNumberFormat="1" applyFont="1" applyFill="1" applyAlignment="1">
      <alignment horizontal="center"/>
    </xf>
    <xf numFmtId="164" fontId="21" fillId="16" borderId="0" xfId="1" applyNumberFormat="1" applyFont="1" applyFill="1" applyAlignment="1">
      <alignment horizontal="right"/>
    </xf>
    <xf numFmtId="0" fontId="21" fillId="0" borderId="13" xfId="0" applyFont="1" applyBorder="1" applyAlignment="1">
      <alignment horizontal="right"/>
    </xf>
    <xf numFmtId="0" fontId="21" fillId="0" borderId="13" xfId="0" applyFont="1" applyBorder="1"/>
    <xf numFmtId="164" fontId="24" fillId="0" borderId="13" xfId="1" applyNumberFormat="1" applyFont="1" applyFill="1" applyBorder="1" applyAlignment="1">
      <alignment horizontal="right"/>
    </xf>
    <xf numFmtId="164" fontId="21" fillId="0" borderId="13" xfId="1" applyNumberFormat="1" applyFont="1" applyBorder="1" applyAlignment="1">
      <alignment horizontal="right"/>
    </xf>
    <xf numFmtId="0" fontId="21" fillId="2" borderId="0" xfId="0" applyFont="1" applyFill="1" applyAlignment="1">
      <alignment horizontal="right"/>
    </xf>
    <xf numFmtId="0" fontId="21" fillId="3" borderId="0" xfId="0" applyFont="1" applyFill="1" applyAlignment="1">
      <alignment horizontal="right"/>
    </xf>
    <xf numFmtId="0" fontId="21" fillId="0" borderId="10" xfId="0" applyFont="1" applyBorder="1"/>
    <xf numFmtId="0" fontId="21" fillId="0" borderId="10" xfId="0" applyFont="1" applyBorder="1" applyAlignment="1">
      <alignment horizontal="right"/>
    </xf>
    <xf numFmtId="164" fontId="23" fillId="3" borderId="24" xfId="1" applyNumberFormat="1" applyFont="1" applyFill="1" applyBorder="1" applyAlignment="1">
      <alignment horizontal="center"/>
    </xf>
    <xf numFmtId="164" fontId="23" fillId="3" borderId="24" xfId="1" applyNumberFormat="1" applyFont="1" applyFill="1" applyBorder="1" applyAlignment="1">
      <alignment horizontal="right"/>
    </xf>
    <xf numFmtId="164" fontId="21" fillId="3" borderId="24" xfId="1" applyNumberFormat="1" applyFont="1" applyFill="1" applyBorder="1" applyAlignment="1">
      <alignment horizontal="right"/>
    </xf>
    <xf numFmtId="3" fontId="25" fillId="16" borderId="0" xfId="1" applyNumberFormat="1" applyFont="1" applyFill="1" applyBorder="1" applyAlignment="1">
      <alignment horizontal="center"/>
    </xf>
    <xf numFmtId="3" fontId="25" fillId="16" borderId="0" xfId="1" applyNumberFormat="1" applyFont="1" applyFill="1" applyBorder="1" applyAlignment="1">
      <alignment horizontal="right"/>
    </xf>
    <xf numFmtId="3" fontId="21" fillId="16" borderId="0" xfId="0" applyNumberFormat="1" applyFont="1" applyFill="1" applyAlignment="1">
      <alignment horizontal="right"/>
    </xf>
    <xf numFmtId="0" fontId="21" fillId="17" borderId="13" xfId="0" applyFont="1" applyFill="1" applyBorder="1"/>
    <xf numFmtId="0" fontId="21" fillId="17" borderId="13" xfId="0" applyFont="1" applyFill="1" applyBorder="1" applyAlignment="1">
      <alignment horizontal="right"/>
    </xf>
    <xf numFmtId="3" fontId="24" fillId="17" borderId="13" xfId="1" applyNumberFormat="1" applyFont="1" applyFill="1" applyBorder="1" applyAlignment="1">
      <alignment horizontal="center"/>
    </xf>
    <xf numFmtId="3" fontId="24" fillId="17" borderId="13" xfId="1" applyNumberFormat="1" applyFont="1" applyFill="1" applyBorder="1" applyAlignment="1">
      <alignment horizontal="right"/>
    </xf>
    <xf numFmtId="3" fontId="25" fillId="17" borderId="13" xfId="1" applyNumberFormat="1" applyFont="1" applyFill="1" applyBorder="1" applyAlignment="1">
      <alignment horizontal="right"/>
    </xf>
    <xf numFmtId="43" fontId="25" fillId="17" borderId="13" xfId="1" applyFont="1" applyFill="1" applyBorder="1" applyAlignment="1">
      <alignment horizontal="right"/>
    </xf>
    <xf numFmtId="164" fontId="21" fillId="16" borderId="10" xfId="1" applyNumberFormat="1" applyFont="1" applyFill="1" applyBorder="1"/>
    <xf numFmtId="164" fontId="21" fillId="16" borderId="10" xfId="1" applyNumberFormat="1" applyFont="1" applyFill="1" applyBorder="1" applyAlignment="1">
      <alignment horizontal="right"/>
    </xf>
    <xf numFmtId="3" fontId="21" fillId="16" borderId="10" xfId="1" applyNumberFormat="1" applyFont="1" applyFill="1" applyBorder="1" applyAlignment="1">
      <alignment horizontal="center"/>
    </xf>
    <xf numFmtId="3" fontId="21" fillId="16" borderId="10" xfId="1" applyNumberFormat="1" applyFont="1" applyFill="1" applyBorder="1" applyAlignment="1">
      <alignment horizontal="right"/>
    </xf>
    <xf numFmtId="164" fontId="21" fillId="17" borderId="13" xfId="1" applyNumberFormat="1" applyFont="1" applyFill="1" applyBorder="1"/>
    <xf numFmtId="164" fontId="21" fillId="17" borderId="13" xfId="1" applyNumberFormat="1" applyFont="1" applyFill="1" applyBorder="1" applyAlignment="1">
      <alignment horizontal="right"/>
    </xf>
    <xf numFmtId="3" fontId="21" fillId="17" borderId="13" xfId="1" applyNumberFormat="1" applyFont="1" applyFill="1" applyBorder="1" applyAlignment="1">
      <alignment horizontal="center"/>
    </xf>
    <xf numFmtId="3" fontId="21" fillId="17" borderId="13" xfId="1" applyNumberFormat="1" applyFont="1" applyFill="1" applyBorder="1" applyAlignment="1">
      <alignment horizontal="right"/>
    </xf>
    <xf numFmtId="0" fontId="21" fillId="2" borderId="0" xfId="0" applyFont="1" applyFill="1" applyAlignment="1">
      <alignment horizontal="center" vertical="center"/>
    </xf>
    <xf numFmtId="9" fontId="21" fillId="2" borderId="0" xfId="0" applyNumberFormat="1" applyFont="1" applyFill="1"/>
    <xf numFmtId="3" fontId="24" fillId="2" borderId="0" xfId="1" applyNumberFormat="1" applyFont="1" applyFill="1" applyAlignment="1">
      <alignment horizontal="center"/>
    </xf>
    <xf numFmtId="3" fontId="24" fillId="2" borderId="0" xfId="1" applyNumberFormat="1" applyFont="1" applyFill="1" applyAlignment="1">
      <alignment horizontal="right"/>
    </xf>
    <xf numFmtId="9" fontId="21" fillId="0" borderId="10" xfId="0" applyNumberFormat="1" applyFont="1" applyBorder="1"/>
    <xf numFmtId="3" fontId="24" fillId="0" borderId="10" xfId="1" applyNumberFormat="1" applyFont="1" applyFill="1" applyBorder="1" applyAlignment="1">
      <alignment horizontal="center"/>
    </xf>
    <xf numFmtId="3" fontId="24" fillId="0" borderId="10" xfId="1" applyNumberFormat="1" applyFont="1" applyFill="1" applyBorder="1" applyAlignment="1">
      <alignment horizontal="right"/>
    </xf>
    <xf numFmtId="3" fontId="24" fillId="16" borderId="10" xfId="1" applyNumberFormat="1" applyFont="1" applyFill="1" applyBorder="1" applyAlignment="1">
      <alignment horizontal="right"/>
    </xf>
    <xf numFmtId="3" fontId="24" fillId="17" borderId="10" xfId="1" applyNumberFormat="1" applyFont="1" applyFill="1" applyBorder="1" applyAlignment="1">
      <alignment horizontal="right"/>
    </xf>
    <xf numFmtId="9" fontId="21" fillId="0" borderId="0" xfId="0" applyNumberFormat="1" applyFont="1"/>
    <xf numFmtId="3" fontId="24" fillId="0" borderId="0" xfId="1" applyNumberFormat="1" applyFont="1" applyFill="1" applyBorder="1" applyAlignment="1">
      <alignment horizontal="center"/>
    </xf>
    <xf numFmtId="3" fontId="24" fillId="16" borderId="0" xfId="1" applyNumberFormat="1" applyFont="1" applyFill="1" applyBorder="1" applyAlignment="1">
      <alignment horizontal="right"/>
    </xf>
    <xf numFmtId="3" fontId="24" fillId="17" borderId="0" xfId="1" applyNumberFormat="1" applyFont="1" applyFill="1" applyBorder="1" applyAlignment="1">
      <alignment horizontal="right"/>
    </xf>
    <xf numFmtId="9" fontId="21" fillId="0" borderId="13" xfId="0" applyNumberFormat="1" applyFont="1" applyBorder="1"/>
    <xf numFmtId="3" fontId="24" fillId="0" borderId="13" xfId="1" applyNumberFormat="1" applyFont="1" applyFill="1" applyBorder="1" applyAlignment="1">
      <alignment horizontal="center"/>
    </xf>
    <xf numFmtId="3" fontId="24" fillId="0" borderId="13" xfId="1" applyNumberFormat="1" applyFont="1" applyFill="1" applyBorder="1" applyAlignment="1">
      <alignment horizontal="right"/>
    </xf>
    <xf numFmtId="3" fontId="24" fillId="16" borderId="13" xfId="1" applyNumberFormat="1" applyFont="1" applyFill="1" applyBorder="1" applyAlignment="1">
      <alignment horizontal="right"/>
    </xf>
    <xf numFmtId="0" fontId="21" fillId="16" borderId="10" xfId="0" applyFont="1" applyFill="1" applyBorder="1"/>
    <xf numFmtId="0" fontId="21" fillId="16" borderId="10" xfId="0" applyFont="1" applyFill="1" applyBorder="1" applyAlignment="1">
      <alignment horizontal="right"/>
    </xf>
    <xf numFmtId="3" fontId="24" fillId="16" borderId="10" xfId="1" applyNumberFormat="1" applyFont="1" applyFill="1" applyBorder="1" applyAlignment="1">
      <alignment horizontal="center"/>
    </xf>
    <xf numFmtId="3" fontId="21" fillId="17" borderId="13" xfId="0" applyNumberFormat="1" applyFont="1" applyFill="1" applyBorder="1" applyAlignment="1">
      <alignment horizontal="center"/>
    </xf>
    <xf numFmtId="3" fontId="21" fillId="17" borderId="13" xfId="0" applyNumberFormat="1" applyFont="1" applyFill="1" applyBorder="1" applyAlignment="1">
      <alignment horizontal="right"/>
    </xf>
    <xf numFmtId="3" fontId="21" fillId="2" borderId="0" xfId="0" applyNumberFormat="1" applyFont="1" applyFill="1" applyAlignment="1">
      <alignment horizontal="center"/>
    </xf>
    <xf numFmtId="3" fontId="21" fillId="2" borderId="0" xfId="0" applyNumberFormat="1" applyFont="1" applyFill="1" applyAlignment="1">
      <alignment horizontal="right"/>
    </xf>
    <xf numFmtId="3" fontId="21" fillId="0" borderId="0" xfId="0" applyNumberFormat="1" applyFont="1"/>
    <xf numFmtId="0" fontId="21" fillId="16" borderId="10" xfId="0" applyFont="1" applyFill="1" applyBorder="1" applyAlignment="1">
      <alignment vertical="center"/>
    </xf>
    <xf numFmtId="0" fontId="21" fillId="16" borderId="10" xfId="0" applyFont="1" applyFill="1" applyBorder="1" applyAlignment="1">
      <alignment horizontal="right" vertical="center"/>
    </xf>
    <xf numFmtId="3" fontId="21" fillId="16" borderId="10" xfId="0" applyNumberFormat="1" applyFont="1" applyFill="1" applyBorder="1" applyAlignment="1">
      <alignment horizontal="center" vertical="center"/>
    </xf>
    <xf numFmtId="3" fontId="21" fillId="16" borderId="10" xfId="0" applyNumberFormat="1" applyFont="1" applyFill="1" applyBorder="1" applyAlignment="1">
      <alignment horizontal="right" vertical="center"/>
    </xf>
    <xf numFmtId="3" fontId="21" fillId="16" borderId="10" xfId="1" applyNumberFormat="1" applyFont="1" applyFill="1" applyBorder="1" applyAlignment="1">
      <alignment horizontal="right" vertical="center"/>
    </xf>
    <xf numFmtId="0" fontId="21" fillId="17" borderId="13" xfId="0" applyFont="1" applyFill="1" applyBorder="1" applyAlignment="1">
      <alignment vertical="center"/>
    </xf>
    <xf numFmtId="0" fontId="21" fillId="17" borderId="13" xfId="0" applyFont="1" applyFill="1" applyBorder="1" applyAlignment="1">
      <alignment horizontal="right" vertical="center"/>
    </xf>
    <xf numFmtId="3" fontId="21" fillId="17" borderId="13" xfId="0" applyNumberFormat="1" applyFont="1" applyFill="1" applyBorder="1" applyAlignment="1">
      <alignment horizontal="center" vertical="center"/>
    </xf>
    <xf numFmtId="3" fontId="21" fillId="17" borderId="13" xfId="0" applyNumberFormat="1" applyFont="1" applyFill="1" applyBorder="1" applyAlignment="1">
      <alignment horizontal="right" vertical="center"/>
    </xf>
    <xf numFmtId="3" fontId="21" fillId="17" borderId="13" xfId="1" applyNumberFormat="1" applyFont="1" applyFill="1" applyBorder="1" applyAlignment="1">
      <alignment horizontal="right" vertical="center"/>
    </xf>
    <xf numFmtId="0" fontId="21" fillId="0" borderId="0" xfId="0" applyFont="1" applyAlignment="1">
      <alignment horizontal="left" vertical="center"/>
    </xf>
    <xf numFmtId="0" fontId="23" fillId="3" borderId="0" xfId="0" applyFont="1" applyFill="1" applyAlignment="1">
      <alignment vertical="center"/>
    </xf>
    <xf numFmtId="0" fontId="23" fillId="0" borderId="0" xfId="0" applyFont="1" applyAlignment="1">
      <alignment vertical="center"/>
    </xf>
    <xf numFmtId="0" fontId="21" fillId="0" borderId="0" xfId="0" applyFont="1" applyAlignment="1">
      <alignment vertical="center" wrapText="1"/>
    </xf>
    <xf numFmtId="0" fontId="21" fillId="0" borderId="13" xfId="0" applyFont="1" applyBorder="1" applyAlignment="1">
      <alignment vertical="center" wrapText="1"/>
    </xf>
    <xf numFmtId="0" fontId="23" fillId="2" borderId="0" xfId="0" applyFont="1" applyFill="1" applyAlignment="1">
      <alignment horizontal="left" vertical="center"/>
    </xf>
    <xf numFmtId="0" fontId="23" fillId="3" borderId="0" xfId="0" applyFont="1" applyFill="1" applyAlignment="1">
      <alignment horizontal="left" vertical="center"/>
    </xf>
    <xf numFmtId="0" fontId="21" fillId="2" borderId="0" xfId="0" applyFont="1" applyFill="1" applyAlignment="1">
      <alignment horizontal="left" vertical="center"/>
    </xf>
    <xf numFmtId="9" fontId="3" fillId="0" borderId="0" xfId="0" applyNumberFormat="1" applyFont="1" applyAlignment="1">
      <alignment vertical="center"/>
    </xf>
    <xf numFmtId="3" fontId="3" fillId="0" borderId="1" xfId="0" applyNumberFormat="1" applyFont="1" applyBorder="1" applyAlignment="1">
      <alignment horizontal="center" vertical="center"/>
    </xf>
    <xf numFmtId="9" fontId="21" fillId="17" borderId="0" xfId="3" applyFont="1" applyFill="1"/>
    <xf numFmtId="164" fontId="3" fillId="0" borderId="7" xfId="1" applyNumberFormat="1" applyFont="1" applyFill="1" applyBorder="1" applyAlignment="1">
      <alignment horizontal="center"/>
    </xf>
    <xf numFmtId="164" fontId="13" fillId="5" borderId="25" xfId="1" applyNumberFormat="1" applyFont="1" applyFill="1" applyBorder="1" applyAlignment="1">
      <alignment horizontal="center"/>
    </xf>
    <xf numFmtId="0" fontId="23" fillId="0" borderId="25" xfId="0" applyFont="1" applyBorder="1" applyAlignment="1">
      <alignment horizontal="center"/>
    </xf>
    <xf numFmtId="164" fontId="26" fillId="5" borderId="7" xfId="1" applyNumberFormat="1" applyFont="1" applyFill="1" applyBorder="1" applyAlignment="1">
      <alignment horizontal="left" vertical="top" wrapText="1"/>
    </xf>
    <xf numFmtId="164" fontId="26" fillId="0" borderId="7" xfId="1" applyNumberFormat="1" applyFont="1" applyFill="1" applyBorder="1" applyAlignment="1">
      <alignment horizontal="left" vertical="top" wrapText="1"/>
    </xf>
    <xf numFmtId="164" fontId="3" fillId="5" borderId="7" xfId="1" applyNumberFormat="1" applyFont="1" applyFill="1" applyBorder="1" applyAlignment="1">
      <alignment horizontal="center" vertical="center"/>
    </xf>
    <xf numFmtId="164" fontId="3" fillId="0" borderId="7" xfId="1" applyNumberFormat="1" applyFont="1" applyFill="1" applyBorder="1" applyAlignment="1">
      <alignment horizontal="center" vertical="center"/>
    </xf>
    <xf numFmtId="0" fontId="13" fillId="14" borderId="26" xfId="0" applyFont="1" applyFill="1" applyBorder="1" applyAlignment="1">
      <alignment horizontal="center" vertical="center" wrapText="1"/>
    </xf>
    <xf numFmtId="0" fontId="3" fillId="0" borderId="28" xfId="0" applyFont="1" applyBorder="1" applyAlignment="1">
      <alignment vertical="top"/>
    </xf>
    <xf numFmtId="0" fontId="3" fillId="0" borderId="30" xfId="0" applyFont="1" applyBorder="1" applyAlignment="1">
      <alignment vertical="top"/>
    </xf>
    <xf numFmtId="0" fontId="13" fillId="14" borderId="33" xfId="0" applyFont="1" applyFill="1" applyBorder="1" applyAlignment="1">
      <alignment horizontal="center" vertical="center" wrapText="1"/>
    </xf>
    <xf numFmtId="170" fontId="3" fillId="0" borderId="34" xfId="1" applyNumberFormat="1" applyFont="1" applyFill="1" applyBorder="1" applyAlignment="1">
      <alignment horizontal="center" vertical="center" wrapText="1"/>
    </xf>
    <xf numFmtId="170" fontId="3" fillId="0" borderId="35" xfId="1" applyNumberFormat="1" applyFont="1" applyFill="1" applyBorder="1" applyAlignment="1">
      <alignment horizontal="center" vertical="center" wrapText="1"/>
    </xf>
    <xf numFmtId="0" fontId="13" fillId="14" borderId="36"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7" xfId="0" applyFont="1" applyBorder="1" applyAlignment="1">
      <alignment horizontal="center" vertical="center" wrapText="1"/>
    </xf>
    <xf numFmtId="0" fontId="13" fillId="14" borderId="38" xfId="0" applyFont="1" applyFill="1" applyBorder="1" applyAlignment="1">
      <alignment horizontal="center" vertical="center" wrapText="1"/>
    </xf>
    <xf numFmtId="0" fontId="3" fillId="0" borderId="39" xfId="0" applyFont="1" applyBorder="1" applyAlignment="1">
      <alignment horizontal="right" vertical="top"/>
    </xf>
    <xf numFmtId="0" fontId="3" fillId="0" borderId="40" xfId="0" applyFont="1" applyBorder="1" applyAlignment="1">
      <alignment horizontal="right" vertical="top"/>
    </xf>
    <xf numFmtId="0" fontId="13" fillId="14" borderId="41" xfId="0" applyFont="1" applyFill="1" applyBorder="1" applyAlignment="1">
      <alignment horizontal="center" vertical="center" wrapText="1"/>
    </xf>
    <xf numFmtId="0" fontId="3" fillId="0" borderId="42" xfId="0" applyFont="1" applyBorder="1" applyAlignment="1">
      <alignment horizontal="right" vertical="top"/>
    </xf>
    <xf numFmtId="0" fontId="3" fillId="0" borderId="43" xfId="0" applyFont="1" applyBorder="1" applyAlignment="1">
      <alignment horizontal="right" vertical="top"/>
    </xf>
    <xf numFmtId="0" fontId="15" fillId="15" borderId="44" xfId="0" applyFont="1" applyFill="1" applyBorder="1"/>
    <xf numFmtId="0" fontId="15" fillId="15" borderId="45" xfId="0" applyFont="1" applyFill="1" applyBorder="1"/>
    <xf numFmtId="0" fontId="13" fillId="0" borderId="47" xfId="0" applyFont="1" applyBorder="1"/>
    <xf numFmtId="0" fontId="3" fillId="0" borderId="42" xfId="0" applyFont="1" applyBorder="1"/>
    <xf numFmtId="165" fontId="3" fillId="0" borderId="42" xfId="2" applyNumberFormat="1" applyFont="1" applyBorder="1"/>
    <xf numFmtId="0" fontId="13" fillId="0" borderId="48" xfId="0" applyFont="1" applyBorder="1"/>
    <xf numFmtId="0" fontId="3" fillId="0" borderId="49" xfId="0" applyFont="1" applyBorder="1"/>
    <xf numFmtId="165" fontId="13" fillId="0" borderId="50" xfId="0" applyNumberFormat="1" applyFont="1" applyBorder="1"/>
    <xf numFmtId="0" fontId="3" fillId="0" borderId="43" xfId="0" applyFont="1" applyBorder="1"/>
    <xf numFmtId="0" fontId="2" fillId="0" borderId="0" xfId="0" applyFont="1"/>
    <xf numFmtId="0" fontId="15" fillId="15" borderId="45" xfId="0" applyFont="1" applyFill="1" applyBorder="1" applyAlignment="1">
      <alignment horizontal="center" vertical="center"/>
    </xf>
    <xf numFmtId="0" fontId="15" fillId="15" borderId="46" xfId="0" applyFont="1" applyFill="1" applyBorder="1" applyAlignment="1">
      <alignment horizontal="center" vertical="center"/>
    </xf>
    <xf numFmtId="0" fontId="3" fillId="0" borderId="28" xfId="0" applyFont="1" applyBorder="1" applyAlignment="1">
      <alignment horizontal="center" vertical="center"/>
    </xf>
    <xf numFmtId="9" fontId="3" fillId="0" borderId="29" xfId="0" applyNumberFormat="1" applyFont="1" applyBorder="1" applyAlignment="1">
      <alignment horizontal="center" vertical="center" wrapText="1"/>
    </xf>
    <xf numFmtId="0" fontId="3" fillId="0" borderId="30" xfId="0" applyFont="1" applyBorder="1" applyAlignment="1">
      <alignment horizontal="center" vertical="center"/>
    </xf>
    <xf numFmtId="0" fontId="3" fillId="0" borderId="31" xfId="0" applyFont="1" applyBorder="1" applyAlignment="1">
      <alignment horizontal="left" vertical="center" wrapText="1"/>
    </xf>
    <xf numFmtId="3" fontId="3" fillId="0" borderId="31" xfId="0" applyNumberFormat="1" applyFont="1" applyBorder="1" applyAlignment="1">
      <alignment horizontal="center" vertical="center" wrapText="1"/>
    </xf>
    <xf numFmtId="3" fontId="3" fillId="0" borderId="31" xfId="0" applyNumberFormat="1" applyFont="1" applyBorder="1" applyAlignment="1">
      <alignment horizontal="center" vertical="center"/>
    </xf>
    <xf numFmtId="9" fontId="3" fillId="0" borderId="32" xfId="0" applyNumberFormat="1" applyFont="1" applyBorder="1" applyAlignment="1">
      <alignment horizontal="center" vertical="center" wrapText="1"/>
    </xf>
    <xf numFmtId="3" fontId="15" fillId="15" borderId="14" xfId="0" applyNumberFormat="1" applyFont="1" applyFill="1" applyBorder="1" applyAlignment="1">
      <alignment horizontal="center" vertical="center" wrapText="1"/>
    </xf>
    <xf numFmtId="3" fontId="3" fillId="0" borderId="5" xfId="0" applyNumberFormat="1" applyFont="1" applyBorder="1" applyAlignment="1">
      <alignment horizontal="center" vertical="center" wrapText="1"/>
    </xf>
    <xf numFmtId="3" fontId="3" fillId="0" borderId="5" xfId="0" applyNumberFormat="1" applyFont="1" applyBorder="1" applyAlignment="1">
      <alignment horizontal="center" vertical="center"/>
    </xf>
    <xf numFmtId="0" fontId="16" fillId="2" borderId="0" xfId="0" applyFont="1" applyFill="1"/>
    <xf numFmtId="0" fontId="27" fillId="0" borderId="0" xfId="0" applyFont="1"/>
    <xf numFmtId="0" fontId="10" fillId="0" borderId="0" xfId="0" applyFont="1"/>
    <xf numFmtId="0" fontId="18" fillId="2" borderId="0" xfId="0" applyFont="1" applyFill="1"/>
    <xf numFmtId="0" fontId="18" fillId="2" borderId="0" xfId="0" applyFont="1" applyFill="1" applyAlignment="1">
      <alignment horizontal="left" vertical="top" wrapText="1"/>
    </xf>
    <xf numFmtId="3" fontId="15" fillId="15" borderId="53" xfId="0" applyNumberFormat="1" applyFont="1" applyFill="1" applyBorder="1" applyAlignment="1">
      <alignment horizontal="center" vertical="center" wrapText="1"/>
    </xf>
    <xf numFmtId="3" fontId="3" fillId="0" borderId="50" xfId="0" applyNumberFormat="1" applyFont="1" applyBorder="1" applyAlignment="1">
      <alignment horizontal="center" vertical="center"/>
    </xf>
    <xf numFmtId="3" fontId="13" fillId="15" borderId="56" xfId="0" applyNumberFormat="1" applyFont="1" applyFill="1" applyBorder="1" applyAlignment="1">
      <alignment horizontal="center" vertical="center" wrapText="1"/>
    </xf>
    <xf numFmtId="9" fontId="3" fillId="0" borderId="57" xfId="0" applyNumberFormat="1" applyFont="1" applyBorder="1" applyAlignment="1">
      <alignment horizontal="center" vertical="center" wrapText="1"/>
    </xf>
    <xf numFmtId="9" fontId="3" fillId="0" borderId="58" xfId="0" applyNumberFormat="1" applyFont="1" applyBorder="1" applyAlignment="1">
      <alignment horizontal="center" vertical="center" wrapText="1"/>
    </xf>
    <xf numFmtId="0" fontId="28" fillId="0" borderId="0" xfId="0" applyFont="1"/>
    <xf numFmtId="0" fontId="28" fillId="0" borderId="0" xfId="0" applyFont="1" applyAlignment="1">
      <alignment horizontal="center"/>
    </xf>
    <xf numFmtId="0" fontId="10" fillId="2" borderId="0" xfId="0" applyFont="1" applyFill="1"/>
    <xf numFmtId="10" fontId="10" fillId="2" borderId="0" xfId="3" applyNumberFormat="1" applyFont="1" applyFill="1"/>
    <xf numFmtId="0" fontId="29" fillId="2" borderId="0" xfId="0" applyFont="1" applyFill="1"/>
    <xf numFmtId="0" fontId="30" fillId="0" borderId="0" xfId="0" applyFont="1" applyAlignment="1">
      <alignment vertical="center"/>
    </xf>
    <xf numFmtId="0" fontId="32" fillId="0" borderId="1" xfId="0" applyFont="1" applyBorder="1" applyAlignment="1">
      <alignment vertical="center" wrapText="1"/>
    </xf>
    <xf numFmtId="0" fontId="3" fillId="7" borderId="4" xfId="0" applyFont="1" applyFill="1" applyBorder="1"/>
    <xf numFmtId="0" fontId="33" fillId="0" borderId="0" xfId="0" applyFont="1"/>
    <xf numFmtId="0" fontId="15" fillId="8" borderId="17" xfId="0" applyFont="1" applyFill="1" applyBorder="1" applyAlignment="1">
      <alignment horizontal="left"/>
    </xf>
    <xf numFmtId="0" fontId="14" fillId="8" borderId="18" xfId="0" applyFont="1" applyFill="1" applyBorder="1"/>
    <xf numFmtId="170" fontId="15" fillId="8" borderId="19" xfId="1" applyNumberFormat="1" applyFont="1" applyFill="1" applyBorder="1" applyAlignment="1">
      <alignment horizontal="left"/>
    </xf>
    <xf numFmtId="0" fontId="3" fillId="8" borderId="17" xfId="0" applyFont="1" applyFill="1" applyBorder="1"/>
    <xf numFmtId="0" fontId="3" fillId="8" borderId="18" xfId="0" applyFont="1" applyFill="1" applyBorder="1" applyAlignment="1">
      <alignment horizontal="right"/>
    </xf>
    <xf numFmtId="37" fontId="13" fillId="8" borderId="19" xfId="0" applyNumberFormat="1" applyFont="1" applyFill="1" applyBorder="1" applyAlignment="1">
      <alignment horizontal="center" vertical="center"/>
    </xf>
    <xf numFmtId="0" fontId="15" fillId="7" borderId="0" xfId="0" applyFont="1" applyFill="1"/>
    <xf numFmtId="0" fontId="14" fillId="7" borderId="0" xfId="0" applyFont="1" applyFill="1"/>
    <xf numFmtId="10" fontId="14" fillId="7" borderId="0" xfId="0" applyNumberFormat="1" applyFont="1" applyFill="1"/>
    <xf numFmtId="0" fontId="13" fillId="0" borderId="1" xfId="0" applyFont="1" applyBorder="1" applyAlignment="1">
      <alignment horizontal="center" vertical="center" wrapText="1"/>
    </xf>
    <xf numFmtId="164" fontId="13" fillId="0" borderId="10" xfId="1" applyNumberFormat="1" applyFont="1" applyFill="1" applyBorder="1" applyAlignment="1">
      <alignment vertical="center"/>
    </xf>
    <xf numFmtId="164" fontId="13" fillId="0" borderId="10" xfId="1" applyNumberFormat="1" applyFont="1" applyFill="1" applyBorder="1" applyAlignment="1">
      <alignment horizontal="center" vertical="center"/>
    </xf>
    <xf numFmtId="164" fontId="13" fillId="0" borderId="10" xfId="1" applyNumberFormat="1" applyFont="1" applyFill="1" applyBorder="1" applyAlignment="1">
      <alignment vertical="center" wrapText="1"/>
    </xf>
    <xf numFmtId="164" fontId="13" fillId="0" borderId="14" xfId="1" applyNumberFormat="1" applyFont="1" applyFill="1" applyBorder="1" applyAlignment="1">
      <alignment horizontal="center" vertical="center" wrapText="1"/>
    </xf>
    <xf numFmtId="0" fontId="33" fillId="2" borderId="0" xfId="0" applyFont="1" applyFill="1"/>
    <xf numFmtId="0" fontId="3" fillId="0" borderId="2" xfId="0" applyFont="1" applyBorder="1"/>
    <xf numFmtId="0" fontId="35" fillId="0" borderId="9" xfId="0" applyFont="1" applyBorder="1" applyAlignment="1">
      <alignment horizontal="left"/>
    </xf>
    <xf numFmtId="0" fontId="35" fillId="0" borderId="10" xfId="0" applyFont="1" applyBorder="1" applyAlignment="1">
      <alignment horizontal="left"/>
    </xf>
    <xf numFmtId="0" fontId="35" fillId="0" borderId="10" xfId="0" applyFont="1" applyBorder="1" applyAlignment="1">
      <alignment horizontal="center"/>
    </xf>
    <xf numFmtId="0" fontId="35" fillId="0" borderId="14" xfId="0" applyFont="1" applyBorder="1" applyAlignment="1">
      <alignment horizontal="center"/>
    </xf>
    <xf numFmtId="0" fontId="18" fillId="0" borderId="6" xfId="0" applyFont="1" applyBorder="1"/>
    <xf numFmtId="0" fontId="18" fillId="0" borderId="0" xfId="0" applyFont="1"/>
    <xf numFmtId="170" fontId="3" fillId="0" borderId="0" xfId="0" applyNumberFormat="1" applyFont="1"/>
    <xf numFmtId="9" fontId="3" fillId="0" borderId="0" xfId="3" applyFont="1" applyFill="1" applyBorder="1" applyAlignment="1">
      <alignment horizontal="center"/>
    </xf>
    <xf numFmtId="0" fontId="3" fillId="0" borderId="15" xfId="0" applyFont="1" applyBorder="1" applyAlignment="1">
      <alignment horizontal="center"/>
    </xf>
    <xf numFmtId="0" fontId="14" fillId="3" borderId="0" xfId="0" applyFont="1" applyFill="1"/>
    <xf numFmtId="164" fontId="14" fillId="0" borderId="0" xfId="1" applyNumberFormat="1" applyFont="1"/>
    <xf numFmtId="0" fontId="17" fillId="2" borderId="0" xfId="0" applyFont="1" applyFill="1" applyAlignment="1">
      <alignment vertical="center"/>
    </xf>
    <xf numFmtId="3" fontId="3" fillId="2" borderId="0" xfId="0" applyNumberFormat="1" applyFont="1" applyFill="1"/>
    <xf numFmtId="165" fontId="3" fillId="2" borderId="0" xfId="2" applyNumberFormat="1" applyFont="1" applyFill="1"/>
    <xf numFmtId="164" fontId="3" fillId="2" borderId="0" xfId="1" applyNumberFormat="1" applyFont="1" applyFill="1"/>
    <xf numFmtId="43" fontId="3" fillId="2" borderId="0" xfId="1" applyFont="1" applyFill="1"/>
    <xf numFmtId="0" fontId="3" fillId="2" borderId="0" xfId="0" applyFont="1" applyFill="1" applyAlignment="1">
      <alignment horizontal="right"/>
    </xf>
    <xf numFmtId="10" fontId="3" fillId="9" borderId="16" xfId="0" applyNumberFormat="1" applyFont="1" applyFill="1" applyBorder="1"/>
    <xf numFmtId="0" fontId="3" fillId="2" borderId="9" xfId="0" applyFont="1" applyFill="1" applyBorder="1"/>
    <xf numFmtId="0" fontId="13" fillId="2" borderId="10" xfId="0" applyFont="1" applyFill="1" applyBorder="1" applyAlignment="1">
      <alignment horizontal="right"/>
    </xf>
    <xf numFmtId="170" fontId="13" fillId="2" borderId="10" xfId="1" applyNumberFormat="1" applyFont="1" applyFill="1" applyBorder="1" applyAlignment="1">
      <alignment horizontal="center"/>
    </xf>
    <xf numFmtId="164" fontId="3" fillId="3" borderId="10" xfId="1" applyNumberFormat="1" applyFont="1" applyFill="1" applyBorder="1"/>
    <xf numFmtId="164" fontId="3" fillId="0" borderId="10" xfId="1" applyNumberFormat="1" applyFont="1" applyFill="1" applyBorder="1"/>
    <xf numFmtId="164" fontId="3" fillId="0" borderId="10" xfId="1" applyNumberFormat="1" applyFont="1" applyBorder="1"/>
    <xf numFmtId="0" fontId="3" fillId="2" borderId="13" xfId="0" applyFont="1" applyFill="1" applyBorder="1" applyAlignment="1">
      <alignment horizontal="right"/>
    </xf>
    <xf numFmtId="0" fontId="3" fillId="2" borderId="11" xfId="0" applyFont="1" applyFill="1" applyBorder="1"/>
    <xf numFmtId="0" fontId="13" fillId="2" borderId="13" xfId="0" applyFont="1" applyFill="1" applyBorder="1" applyAlignment="1">
      <alignment horizontal="right"/>
    </xf>
    <xf numFmtId="170" fontId="35" fillId="2" borderId="13" xfId="1" applyNumberFormat="1" applyFont="1" applyFill="1" applyBorder="1" applyAlignment="1">
      <alignment horizontal="center"/>
    </xf>
    <xf numFmtId="164" fontId="3" fillId="3" borderId="13" xfId="1" applyNumberFormat="1" applyFont="1" applyFill="1" applyBorder="1"/>
    <xf numFmtId="164" fontId="3" fillId="0" borderId="13" xfId="1" applyNumberFormat="1" applyFont="1" applyFill="1" applyBorder="1"/>
    <xf numFmtId="164" fontId="3" fillId="0" borderId="13" xfId="1" applyNumberFormat="1" applyFont="1" applyBorder="1"/>
    <xf numFmtId="164" fontId="3" fillId="0" borderId="0" xfId="1" applyNumberFormat="1" applyFont="1"/>
    <xf numFmtId="164" fontId="13" fillId="2" borderId="0" xfId="1" applyNumberFormat="1" applyFont="1" applyFill="1"/>
    <xf numFmtId="164" fontId="33" fillId="2" borderId="0" xfId="1" applyNumberFormat="1" applyFont="1" applyFill="1"/>
    <xf numFmtId="164" fontId="33" fillId="0" borderId="0" xfId="0" applyNumberFormat="1" applyFont="1"/>
    <xf numFmtId="0" fontId="13" fillId="2" borderId="0" xfId="0" applyFont="1" applyFill="1" applyAlignment="1">
      <alignment horizontal="right"/>
    </xf>
    <xf numFmtId="164" fontId="13" fillId="3" borderId="21" xfId="1" applyNumberFormat="1" applyFont="1" applyFill="1" applyBorder="1"/>
    <xf numFmtId="164" fontId="13" fillId="0" borderId="21" xfId="1" applyNumberFormat="1" applyFont="1" applyBorder="1"/>
    <xf numFmtId="164" fontId="13" fillId="0" borderId="21" xfId="1" applyNumberFormat="1" applyFont="1" applyFill="1" applyBorder="1"/>
    <xf numFmtId="164" fontId="3" fillId="10" borderId="21" xfId="1" applyNumberFormat="1" applyFont="1" applyFill="1" applyBorder="1"/>
    <xf numFmtId="164" fontId="3" fillId="7" borderId="9" xfId="1" applyNumberFormat="1" applyFont="1" applyFill="1" applyBorder="1"/>
    <xf numFmtId="0" fontId="15" fillId="7" borderId="10" xfId="0" applyFont="1" applyFill="1" applyBorder="1" applyAlignment="1">
      <alignment horizontal="left" vertical="center"/>
    </xf>
    <xf numFmtId="0" fontId="15" fillId="7" borderId="10" xfId="0" applyFont="1" applyFill="1" applyBorder="1" applyAlignment="1">
      <alignment horizontal="center" vertical="center"/>
    </xf>
    <xf numFmtId="0" fontId="15" fillId="7" borderId="14" xfId="0" applyFont="1" applyFill="1" applyBorder="1" applyAlignment="1">
      <alignment horizontal="center" vertical="center"/>
    </xf>
    <xf numFmtId="164" fontId="13" fillId="3" borderId="0" xfId="1" applyNumberFormat="1" applyFont="1" applyFill="1" applyBorder="1"/>
    <xf numFmtId="164" fontId="3" fillId="0" borderId="0" xfId="0" applyNumberFormat="1" applyFont="1"/>
    <xf numFmtId="164" fontId="13" fillId="12" borderId="0" xfId="1" applyNumberFormat="1" applyFont="1" applyFill="1" applyBorder="1" applyAlignment="1">
      <alignment horizontal="right"/>
    </xf>
    <xf numFmtId="166" fontId="15" fillId="12" borderId="15" xfId="1" applyNumberFormat="1" applyFont="1" applyFill="1" applyBorder="1"/>
    <xf numFmtId="0" fontId="35" fillId="2" borderId="0" xfId="0" applyFont="1" applyFill="1"/>
    <xf numFmtId="164" fontId="33" fillId="0" borderId="0" xfId="1" applyNumberFormat="1" applyFont="1"/>
    <xf numFmtId="164" fontId="15" fillId="12" borderId="0" xfId="1" applyNumberFormat="1" applyFont="1" applyFill="1" applyBorder="1" applyAlignment="1">
      <alignment horizontal="right"/>
    </xf>
    <xf numFmtId="167" fontId="13" fillId="9" borderId="20" xfId="0" applyNumberFormat="1" applyFont="1" applyFill="1" applyBorder="1"/>
    <xf numFmtId="164" fontId="13" fillId="7" borderId="4" xfId="1" applyNumberFormat="1" applyFont="1" applyFill="1" applyBorder="1"/>
    <xf numFmtId="164" fontId="3" fillId="7" borderId="4" xfId="1" applyNumberFormat="1" applyFont="1" applyFill="1" applyBorder="1"/>
    <xf numFmtId="166" fontId="14" fillId="2" borderId="15" xfId="1" applyNumberFormat="1" applyFont="1" applyFill="1" applyBorder="1" applyAlignment="1">
      <alignment horizontal="center"/>
    </xf>
    <xf numFmtId="164" fontId="3" fillId="0" borderId="9" xfId="1" applyNumberFormat="1" applyFont="1" applyBorder="1"/>
    <xf numFmtId="0" fontId="13" fillId="0" borderId="10" xfId="0" applyFont="1" applyBorder="1" applyAlignment="1">
      <alignment horizontal="right"/>
    </xf>
    <xf numFmtId="164" fontId="13" fillId="0" borderId="10" xfId="1" applyNumberFormat="1" applyFont="1" applyBorder="1"/>
    <xf numFmtId="164" fontId="3" fillId="11" borderId="3" xfId="1" applyNumberFormat="1" applyFont="1" applyFill="1" applyBorder="1"/>
    <xf numFmtId="0" fontId="13" fillId="11" borderId="4" xfId="0" applyFont="1" applyFill="1" applyBorder="1" applyAlignment="1">
      <alignment horizontal="right"/>
    </xf>
    <xf numFmtId="164" fontId="13" fillId="11" borderId="10" xfId="1" applyNumberFormat="1" applyFont="1" applyFill="1" applyBorder="1"/>
    <xf numFmtId="164" fontId="3" fillId="11" borderId="4" xfId="1" applyNumberFormat="1" applyFont="1" applyFill="1" applyBorder="1"/>
    <xf numFmtId="168" fontId="3" fillId="2" borderId="0" xfId="0" applyNumberFormat="1" applyFont="1" applyFill="1"/>
    <xf numFmtId="164" fontId="3" fillId="2" borderId="0" xfId="1" applyNumberFormat="1" applyFont="1" applyFill="1" applyBorder="1" applyAlignment="1">
      <alignment horizontal="right"/>
    </xf>
    <xf numFmtId="9" fontId="13" fillId="9" borderId="16" xfId="0" applyNumberFormat="1" applyFont="1" applyFill="1" applyBorder="1" applyAlignment="1">
      <alignment horizontal="center"/>
    </xf>
    <xf numFmtId="164" fontId="3" fillId="3" borderId="0" xfId="1" applyNumberFormat="1" applyFont="1" applyFill="1" applyBorder="1"/>
    <xf numFmtId="164" fontId="3" fillId="0" borderId="0" xfId="1" applyNumberFormat="1" applyFont="1" applyBorder="1"/>
    <xf numFmtId="0" fontId="14" fillId="2" borderId="0" xfId="0" applyFont="1" applyFill="1" applyAlignment="1">
      <alignment horizontal="right" vertical="center"/>
    </xf>
    <xf numFmtId="166" fontId="3" fillId="2" borderId="15" xfId="0" applyNumberFormat="1" applyFont="1" applyFill="1" applyBorder="1"/>
    <xf numFmtId="164" fontId="3" fillId="2" borderId="13" xfId="1" applyNumberFormat="1" applyFont="1" applyFill="1" applyBorder="1" applyAlignment="1">
      <alignment horizontal="right"/>
    </xf>
    <xf numFmtId="164" fontId="3" fillId="2" borderId="6" xfId="1" applyNumberFormat="1" applyFont="1" applyFill="1" applyBorder="1"/>
    <xf numFmtId="164" fontId="13" fillId="2" borderId="0" xfId="1" applyNumberFormat="1" applyFont="1" applyFill="1" applyBorder="1" applyAlignment="1">
      <alignment horizontal="center"/>
    </xf>
    <xf numFmtId="164" fontId="3" fillId="0" borderId="0" xfId="1" applyNumberFormat="1" applyFont="1" applyFill="1" applyBorder="1"/>
    <xf numFmtId="0" fontId="3" fillId="2" borderId="15" xfId="0" applyFont="1" applyFill="1" applyBorder="1" applyAlignment="1">
      <alignment horizontal="right"/>
    </xf>
    <xf numFmtId="164" fontId="13" fillId="2" borderId="0" xfId="1" applyNumberFormat="1" applyFont="1" applyFill="1" applyBorder="1" applyAlignment="1">
      <alignment horizontal="right"/>
    </xf>
    <xf numFmtId="164" fontId="13" fillId="2" borderId="10" xfId="1" applyNumberFormat="1" applyFont="1" applyFill="1" applyBorder="1"/>
    <xf numFmtId="0" fontId="3" fillId="2" borderId="12" xfId="0" applyFont="1" applyFill="1" applyBorder="1"/>
    <xf numFmtId="164" fontId="13" fillId="11" borderId="4" xfId="1" applyNumberFormat="1" applyFont="1" applyFill="1" applyBorder="1" applyAlignment="1">
      <alignment horizontal="right"/>
    </xf>
    <xf numFmtId="0" fontId="13" fillId="11" borderId="4" xfId="0" applyFont="1" applyFill="1" applyBorder="1"/>
    <xf numFmtId="0" fontId="14" fillId="0" borderId="0" xfId="1" applyNumberFormat="1" applyFont="1" applyFill="1" applyBorder="1" applyAlignment="1">
      <alignment vertical="center" wrapText="1"/>
    </xf>
    <xf numFmtId="164" fontId="17" fillId="2" borderId="0" xfId="1" applyNumberFormat="1" applyFont="1" applyFill="1" applyBorder="1" applyAlignment="1">
      <alignment wrapText="1"/>
    </xf>
    <xf numFmtId="0" fontId="13" fillId="7" borderId="3" xfId="0" applyFont="1" applyFill="1" applyBorder="1" applyAlignment="1">
      <alignment vertical="center"/>
    </xf>
    <xf numFmtId="0" fontId="13" fillId="7" borderId="4" xfId="0" applyFont="1" applyFill="1" applyBorder="1" applyAlignment="1">
      <alignment vertical="center"/>
    </xf>
    <xf numFmtId="0" fontId="13" fillId="7" borderId="1" xfId="0" applyFont="1" applyFill="1" applyBorder="1" applyAlignment="1">
      <alignment horizontal="center"/>
    </xf>
    <xf numFmtId="0" fontId="3" fillId="2" borderId="13" xfId="0" applyFont="1" applyFill="1" applyBorder="1"/>
    <xf numFmtId="164" fontId="17" fillId="2" borderId="13" xfId="1" applyNumberFormat="1" applyFont="1" applyFill="1" applyBorder="1" applyAlignment="1">
      <alignment wrapText="1"/>
    </xf>
    <xf numFmtId="3" fontId="3" fillId="2" borderId="13" xfId="0" applyNumberFormat="1" applyFont="1" applyFill="1" applyBorder="1"/>
    <xf numFmtId="43" fontId="3" fillId="2" borderId="13" xfId="0" applyNumberFormat="1" applyFont="1" applyFill="1" applyBorder="1"/>
    <xf numFmtId="0" fontId="13" fillId="0" borderId="10" xfId="0" applyFont="1" applyBorder="1"/>
    <xf numFmtId="0" fontId="3" fillId="0" borderId="10" xfId="0" applyFont="1" applyBorder="1"/>
    <xf numFmtId="43" fontId="3" fillId="0" borderId="0" xfId="0" applyNumberFormat="1" applyFont="1"/>
    <xf numFmtId="164" fontId="13" fillId="7" borderId="3" xfId="1" applyNumberFormat="1" applyFont="1" applyFill="1" applyBorder="1"/>
    <xf numFmtId="0" fontId="17" fillId="2" borderId="0" xfId="0" applyFont="1" applyFill="1" applyAlignment="1">
      <alignment horizontal="left" vertical="top" wrapText="1"/>
    </xf>
    <xf numFmtId="0" fontId="30" fillId="2" borderId="0" xfId="0" applyFont="1" applyFill="1"/>
    <xf numFmtId="0" fontId="19" fillId="2" borderId="0" xfId="0" applyFont="1" applyFill="1" applyAlignment="1">
      <alignment horizontal="left" vertical="top" wrapText="1"/>
    </xf>
    <xf numFmtId="0" fontId="14" fillId="2" borderId="0" xfId="0" applyFont="1" applyFill="1" applyAlignment="1">
      <alignment horizontal="left" vertical="top" wrapText="1"/>
    </xf>
    <xf numFmtId="0" fontId="13" fillId="13" borderId="3" xfId="0" applyFont="1" applyFill="1" applyBorder="1" applyAlignment="1">
      <alignment horizontal="center" vertical="center"/>
    </xf>
    <xf numFmtId="0" fontId="13" fillId="13" borderId="5" xfId="0" applyFont="1" applyFill="1" applyBorder="1" applyAlignment="1">
      <alignment horizontal="center" vertical="center"/>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18" fillId="2" borderId="0" xfId="0" applyFont="1" applyFill="1" applyAlignment="1">
      <alignment horizontal="left" vertical="top" wrapText="1"/>
    </xf>
    <xf numFmtId="0" fontId="14" fillId="0" borderId="0" xfId="0" applyFont="1" applyAlignment="1">
      <alignment horizontal="left" vertical="top" wrapText="1"/>
    </xf>
    <xf numFmtId="0" fontId="14" fillId="0" borderId="0" xfId="0" applyFont="1" applyFill="1" applyAlignment="1">
      <alignment horizontal="left" vertical="center" wrapText="1"/>
    </xf>
    <xf numFmtId="0" fontId="18" fillId="0" borderId="1" xfId="0" applyFont="1" applyBorder="1" applyAlignment="1">
      <alignment horizontal="left" vertical="top" wrapText="1"/>
    </xf>
    <xf numFmtId="0" fontId="3" fillId="0" borderId="10" xfId="0" applyFont="1" applyBorder="1" applyAlignment="1">
      <alignment horizontal="left" vertical="top" wrapText="1"/>
    </xf>
    <xf numFmtId="0" fontId="3" fillId="0" borderId="14" xfId="0" applyFont="1" applyBorder="1" applyAlignment="1">
      <alignment horizontal="left" vertical="top" wrapText="1"/>
    </xf>
    <xf numFmtId="0" fontId="15" fillId="15" borderId="54" xfId="0" applyFont="1" applyFill="1" applyBorder="1" applyAlignment="1">
      <alignment horizontal="center" vertical="center" wrapText="1"/>
    </xf>
    <xf numFmtId="0" fontId="15" fillId="15" borderId="27" xfId="0" applyFont="1" applyFill="1" applyBorder="1" applyAlignment="1">
      <alignment horizontal="center" vertical="center" wrapText="1"/>
    </xf>
    <xf numFmtId="0" fontId="13" fillId="15" borderId="51" xfId="0" applyFont="1" applyFill="1" applyBorder="1" applyAlignment="1">
      <alignment horizontal="left" vertical="center" wrapText="1"/>
    </xf>
    <xf numFmtId="0" fontId="13" fillId="15" borderId="2" xfId="0" applyFont="1" applyFill="1" applyBorder="1" applyAlignment="1">
      <alignment horizontal="left" vertical="center" wrapText="1"/>
    </xf>
    <xf numFmtId="0" fontId="13" fillId="15" borderId="51" xfId="0" applyFont="1" applyFill="1" applyBorder="1" applyAlignment="1">
      <alignment horizontal="center" vertical="center" wrapText="1"/>
    </xf>
    <xf numFmtId="0" fontId="13" fillId="15" borderId="2" xfId="0" applyFont="1" applyFill="1" applyBorder="1" applyAlignment="1">
      <alignment horizontal="center" vertical="center" wrapText="1"/>
    </xf>
    <xf numFmtId="0" fontId="13" fillId="15" borderId="55" xfId="0" applyFont="1" applyFill="1" applyBorder="1" applyAlignment="1">
      <alignment horizontal="center" vertical="center" wrapText="1"/>
    </xf>
    <xf numFmtId="0" fontId="3" fillId="15" borderId="26" xfId="0" applyFont="1" applyFill="1" applyBorder="1" applyAlignment="1">
      <alignment horizontal="center" vertical="center" wrapText="1"/>
    </xf>
    <xf numFmtId="0" fontId="3" fillId="15" borderId="52" xfId="0" applyFont="1" applyFill="1" applyBorder="1" applyAlignment="1">
      <alignment horizontal="center" vertical="center" wrapText="1"/>
    </xf>
    <xf numFmtId="0" fontId="19" fillId="0" borderId="0" xfId="0" applyFont="1" applyAlignment="1">
      <alignment horizontal="left" vertical="top" wrapText="1"/>
    </xf>
    <xf numFmtId="0" fontId="18" fillId="0" borderId="0" xfId="0" applyFont="1" applyAlignment="1">
      <alignment horizontal="left" vertical="top" wrapText="1"/>
    </xf>
    <xf numFmtId="0" fontId="18" fillId="0" borderId="15" xfId="0" applyFont="1" applyBorder="1" applyAlignment="1">
      <alignment horizontal="left" vertical="top" wrapText="1"/>
    </xf>
    <xf numFmtId="0" fontId="3" fillId="0" borderId="0" xfId="0" applyFont="1" applyAlignment="1">
      <alignment horizontal="left" vertical="center" wrapText="1"/>
    </xf>
    <xf numFmtId="0" fontId="3" fillId="0" borderId="15" xfId="0" applyFont="1" applyBorder="1" applyAlignment="1">
      <alignment horizontal="left" vertical="center" wrapText="1"/>
    </xf>
    <xf numFmtId="0" fontId="13" fillId="0" borderId="6" xfId="0" applyFont="1" applyBorder="1" applyAlignment="1">
      <alignment horizontal="left" vertical="center"/>
    </xf>
    <xf numFmtId="0" fontId="13" fillId="0" borderId="11" xfId="0" applyFont="1" applyBorder="1" applyAlignment="1">
      <alignment horizontal="left" vertical="center"/>
    </xf>
    <xf numFmtId="0" fontId="3" fillId="0" borderId="0" xfId="0" applyFont="1" applyAlignment="1">
      <alignment horizontal="left" vertical="center"/>
    </xf>
    <xf numFmtId="0" fontId="3" fillId="0" borderId="15" xfId="0" applyFont="1" applyBorder="1" applyAlignment="1">
      <alignment horizontal="left" vertical="center"/>
    </xf>
    <xf numFmtId="0" fontId="3" fillId="0" borderId="13" xfId="0" applyFont="1" applyBorder="1" applyAlignment="1">
      <alignment horizontal="left" vertical="center"/>
    </xf>
    <xf numFmtId="0" fontId="3" fillId="0" borderId="12" xfId="0" applyFont="1" applyBorder="1" applyAlignment="1">
      <alignment horizontal="left" vertical="center"/>
    </xf>
    <xf numFmtId="0" fontId="14" fillId="2" borderId="6" xfId="0" applyFont="1" applyFill="1" applyBorder="1" applyAlignment="1">
      <alignment horizontal="left"/>
    </xf>
    <xf numFmtId="0" fontId="14" fillId="2" borderId="0" xfId="0" applyFont="1" applyFill="1" applyAlignment="1">
      <alignment horizontal="left"/>
    </xf>
    <xf numFmtId="0" fontId="15" fillId="12" borderId="6" xfId="1" applyNumberFormat="1" applyFont="1" applyFill="1" applyBorder="1" applyAlignment="1">
      <alignment horizontal="left" vertical="center"/>
    </xf>
    <xf numFmtId="0" fontId="15" fillId="12" borderId="0" xfId="1" applyNumberFormat="1" applyFont="1" applyFill="1" applyBorder="1" applyAlignment="1">
      <alignment horizontal="left" vertical="center"/>
    </xf>
    <xf numFmtId="0" fontId="17" fillId="0" borderId="6" xfId="1" applyNumberFormat="1" applyFont="1" applyFill="1" applyBorder="1" applyAlignment="1">
      <alignment horizontal="center" vertical="center" wrapText="1"/>
    </xf>
    <xf numFmtId="0" fontId="17" fillId="0" borderId="0" xfId="1" applyNumberFormat="1" applyFont="1" applyFill="1" applyBorder="1" applyAlignment="1">
      <alignment horizontal="center" vertical="center" wrapText="1"/>
    </xf>
    <xf numFmtId="0" fontId="17" fillId="0" borderId="11" xfId="1" applyNumberFormat="1" applyFont="1" applyFill="1" applyBorder="1" applyAlignment="1">
      <alignment horizontal="center" vertical="center" wrapText="1"/>
    </xf>
    <xf numFmtId="0" fontId="17" fillId="0" borderId="13" xfId="1" applyNumberFormat="1" applyFont="1" applyFill="1" applyBorder="1" applyAlignment="1">
      <alignment horizontal="center" vertical="center" wrapText="1"/>
    </xf>
    <xf numFmtId="0" fontId="17" fillId="2" borderId="9" xfId="1" applyNumberFormat="1" applyFont="1" applyFill="1" applyBorder="1" applyAlignment="1">
      <alignment horizontal="left" vertical="center" wrapText="1"/>
    </xf>
    <xf numFmtId="0" fontId="17" fillId="2" borderId="6" xfId="1" applyNumberFormat="1" applyFont="1" applyFill="1" applyBorder="1" applyAlignment="1">
      <alignment horizontal="left" vertical="center" wrapText="1"/>
    </xf>
    <xf numFmtId="0" fontId="17" fillId="2" borderId="11" xfId="1" applyNumberFormat="1" applyFont="1" applyFill="1" applyBorder="1" applyAlignment="1">
      <alignment horizontal="left" vertical="center" wrapText="1"/>
    </xf>
    <xf numFmtId="0" fontId="17" fillId="2" borderId="9" xfId="0" applyFont="1" applyFill="1" applyBorder="1" applyAlignment="1">
      <alignment horizontal="left" vertical="center" wrapText="1"/>
    </xf>
    <xf numFmtId="0" fontId="17" fillId="2" borderId="10" xfId="0" applyFont="1" applyFill="1" applyBorder="1" applyAlignment="1">
      <alignment horizontal="left" vertical="center" wrapText="1"/>
    </xf>
    <xf numFmtId="0" fontId="17" fillId="2" borderId="14" xfId="0" applyFont="1" applyFill="1" applyBorder="1" applyAlignment="1">
      <alignment horizontal="left" vertical="center" wrapText="1"/>
    </xf>
    <xf numFmtId="0" fontId="17" fillId="2" borderId="6" xfId="0" applyFont="1" applyFill="1" applyBorder="1" applyAlignment="1">
      <alignment horizontal="left" vertical="center" wrapText="1"/>
    </xf>
    <xf numFmtId="0" fontId="17" fillId="2" borderId="0" xfId="0" applyFont="1" applyFill="1" applyAlignment="1">
      <alignment horizontal="left" vertical="center" wrapText="1"/>
    </xf>
    <xf numFmtId="0" fontId="17" fillId="2" borderId="15" xfId="0" applyFont="1" applyFill="1" applyBorder="1" applyAlignment="1">
      <alignment horizontal="left" vertical="center" wrapText="1"/>
    </xf>
    <xf numFmtId="0" fontId="34" fillId="8" borderId="17" xfId="0" applyFont="1" applyFill="1" applyBorder="1" applyAlignment="1">
      <alignment horizontal="left"/>
    </xf>
    <xf numFmtId="0" fontId="34" fillId="8" borderId="18" xfId="0" applyFont="1" applyFill="1" applyBorder="1" applyAlignment="1">
      <alignment horizontal="left"/>
    </xf>
    <xf numFmtId="0" fontId="34" fillId="8" borderId="19" xfId="0" applyFont="1" applyFill="1" applyBorder="1" applyAlignment="1">
      <alignment horizontal="left"/>
    </xf>
    <xf numFmtId="0" fontId="18" fillId="2" borderId="0" xfId="0" applyFont="1" applyFill="1" applyAlignment="1">
      <alignment horizontal="left" vertical="center" wrapText="1"/>
    </xf>
    <xf numFmtId="0" fontId="13" fillId="7" borderId="9" xfId="0" applyFont="1" applyFill="1" applyBorder="1" applyAlignment="1">
      <alignment horizontal="left" vertical="center"/>
    </xf>
    <xf numFmtId="0" fontId="13" fillId="7" borderId="10" xfId="0" applyFont="1" applyFill="1" applyBorder="1" applyAlignment="1">
      <alignment horizontal="left" vertical="center"/>
    </xf>
    <xf numFmtId="0" fontId="13" fillId="7" borderId="14" xfId="0" applyFont="1" applyFill="1" applyBorder="1" applyAlignment="1">
      <alignment horizontal="left" vertical="center"/>
    </xf>
    <xf numFmtId="0" fontId="17" fillId="2" borderId="11" xfId="0" applyFont="1" applyFill="1" applyBorder="1" applyAlignment="1">
      <alignment horizontal="left" vertical="center" wrapText="1"/>
    </xf>
    <xf numFmtId="0" fontId="17" fillId="2" borderId="13" xfId="0" applyFont="1" applyFill="1" applyBorder="1" applyAlignment="1">
      <alignment horizontal="left" vertical="center" wrapText="1"/>
    </xf>
    <xf numFmtId="0" fontId="23" fillId="0" borderId="10" xfId="0" applyFont="1" applyBorder="1" applyAlignment="1">
      <alignment horizontal="left" vertical="center" wrapText="1"/>
    </xf>
    <xf numFmtId="0" fontId="23" fillId="0" borderId="13" xfId="0" applyFont="1" applyBorder="1" applyAlignment="1">
      <alignment horizontal="left" vertical="center" wrapText="1"/>
    </xf>
    <xf numFmtId="0" fontId="22" fillId="0" borderId="0" xfId="0" applyFont="1" applyAlignment="1">
      <alignment horizontal="left" vertical="top" wrapText="1"/>
    </xf>
    <xf numFmtId="0" fontId="22" fillId="16" borderId="0" xfId="0" applyFont="1" applyFill="1" applyAlignment="1">
      <alignment horizontal="left" vertical="top"/>
    </xf>
    <xf numFmtId="0" fontId="22" fillId="17" borderId="0" xfId="0" applyFont="1" applyFill="1" applyAlignment="1">
      <alignment horizontal="left" vertical="top" wrapText="1"/>
    </xf>
    <xf numFmtId="0" fontId="21" fillId="0" borderId="10" xfId="0" applyFont="1" applyBorder="1" applyAlignment="1">
      <alignment horizontal="left" vertical="center" wrapText="1"/>
    </xf>
    <xf numFmtId="0" fontId="21" fillId="0" borderId="0" xfId="0" applyFont="1" applyAlignment="1">
      <alignment horizontal="left" vertical="center" wrapText="1"/>
    </xf>
    <xf numFmtId="0" fontId="21" fillId="0" borderId="13" xfId="0" applyFont="1" applyBorder="1" applyAlignment="1">
      <alignment horizontal="left" vertical="center" wrapText="1"/>
    </xf>
    <xf numFmtId="0" fontId="23" fillId="0" borderId="0" xfId="0" applyFont="1" applyAlignment="1">
      <alignment horizontal="left" vertical="center" wrapText="1"/>
    </xf>
    <xf numFmtId="0" fontId="0" fillId="0" borderId="3" xfId="0" applyBorder="1" applyAlignment="1">
      <alignment horizontal="left" vertical="top" wrapText="1"/>
    </xf>
    <xf numFmtId="0" fontId="0" fillId="0" borderId="5" xfId="0" applyBorder="1" applyAlignment="1">
      <alignment horizontal="left" vertical="top" wrapText="1"/>
    </xf>
    <xf numFmtId="0" fontId="2" fillId="7" borderId="3" xfId="0" applyFont="1" applyFill="1" applyBorder="1" applyAlignment="1">
      <alignment horizontal="center"/>
    </xf>
    <xf numFmtId="0" fontId="2" fillId="7" borderId="5" xfId="0" applyFont="1" applyFill="1" applyBorder="1" applyAlignment="1">
      <alignment horizontal="center"/>
    </xf>
    <xf numFmtId="0" fontId="0" fillId="0" borderId="11" xfId="0" applyBorder="1" applyAlignment="1">
      <alignment horizontal="left" vertical="top" wrapText="1"/>
    </xf>
    <xf numFmtId="0" fontId="0" fillId="0" borderId="12" xfId="0" applyBorder="1" applyAlignment="1">
      <alignment horizontal="left" vertical="top" wrapText="1"/>
    </xf>
  </cellXfs>
  <cellStyles count="4">
    <cellStyle name="Comma" xfId="1" builtinId="3"/>
    <cellStyle name="Currency" xfId="2" builtinId="4"/>
    <cellStyle name="Normal" xfId="0" builtinId="0"/>
    <cellStyle name="Percent" xfId="3" builtinId="5"/>
  </cellStyles>
  <dxfs count="3">
    <dxf>
      <font>
        <color rgb="FF9C0006"/>
      </font>
      <fill>
        <patternFill>
          <bgColor rgb="FFFFC7CE"/>
        </patternFill>
      </fill>
    </dxf>
    <dxf>
      <font>
        <color rgb="FF006100"/>
      </font>
      <fill>
        <patternFill>
          <bgColor rgb="FFC6EFCE"/>
        </patternFill>
      </fill>
    </dxf>
    <dxf>
      <font>
        <b/>
        <i val="0"/>
        <color theme="0"/>
      </font>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Ending Account Balance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'Tab 6 - Financial Model'!$M$2:$AS$2</c:f>
              <c:numCache>
                <c:formatCode>General</c:formatCode>
                <c:ptCount val="33"/>
                <c:pt idx="0">
                  <c:v>3</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pt idx="18">
                  <c:v>21</c:v>
                </c:pt>
                <c:pt idx="19">
                  <c:v>22</c:v>
                </c:pt>
                <c:pt idx="20">
                  <c:v>23</c:v>
                </c:pt>
                <c:pt idx="21">
                  <c:v>24</c:v>
                </c:pt>
                <c:pt idx="22">
                  <c:v>25</c:v>
                </c:pt>
                <c:pt idx="23">
                  <c:v>26</c:v>
                </c:pt>
                <c:pt idx="24">
                  <c:v>27</c:v>
                </c:pt>
                <c:pt idx="25">
                  <c:v>28</c:v>
                </c:pt>
                <c:pt idx="26">
                  <c:v>29</c:v>
                </c:pt>
                <c:pt idx="27">
                  <c:v>30</c:v>
                </c:pt>
                <c:pt idx="28">
                  <c:v>31</c:v>
                </c:pt>
                <c:pt idx="29">
                  <c:v>32</c:v>
                </c:pt>
                <c:pt idx="30">
                  <c:v>33</c:v>
                </c:pt>
                <c:pt idx="31">
                  <c:v>34</c:v>
                </c:pt>
                <c:pt idx="32">
                  <c:v>35</c:v>
                </c:pt>
              </c:numCache>
            </c:numRef>
          </c:cat>
          <c:val>
            <c:numRef>
              <c:f>'Tab 6 - Financial Model'!$M$42:$AS$42</c:f>
              <c:numCache>
                <c:formatCode>_(* #,##0_);_(* \(#,##0\);_(* "-"??_);_(@_)</c:formatCode>
                <c:ptCount val="33"/>
                <c:pt idx="0">
                  <c:v>0</c:v>
                </c:pt>
                <c:pt idx="1">
                  <c:v>5394559.9525399301</c:v>
                </c:pt>
                <c:pt idx="2">
                  <c:v>11579700.522279857</c:v>
                </c:pt>
                <c:pt idx="3">
                  <c:v>18171668.991626065</c:v>
                </c:pt>
                <c:pt idx="4">
                  <c:v>25307916.959003974</c:v>
                </c:pt>
                <c:pt idx="5">
                  <c:v>-2129296.5872624442</c:v>
                </c:pt>
                <c:pt idx="6">
                  <c:v>4584628.0773033518</c:v>
                </c:pt>
                <c:pt idx="7">
                  <c:v>-13178418.98615602</c:v>
                </c:pt>
                <c:pt idx="8">
                  <c:v>-6460109.3355629826</c:v>
                </c:pt>
                <c:pt idx="9">
                  <c:v>797341.12953911838</c:v>
                </c:pt>
                <c:pt idx="10">
                  <c:v>8625186.0157091524</c:v>
                </c:pt>
                <c:pt idx="11">
                  <c:v>-12494056.768774662</c:v>
                </c:pt>
                <c:pt idx="12">
                  <c:v>-4692993.5345808724</c:v>
                </c:pt>
                <c:pt idx="13">
                  <c:v>3727591.0999169331</c:v>
                </c:pt>
                <c:pt idx="14">
                  <c:v>-17857806.086809404</c:v>
                </c:pt>
                <c:pt idx="15">
                  <c:v>-9404732.9992247541</c:v>
                </c:pt>
                <c:pt idx="16">
                  <c:v>-276102.1602382469</c:v>
                </c:pt>
                <c:pt idx="17">
                  <c:v>-26704824.71744895</c:v>
                </c:pt>
                <c:pt idx="18">
                  <c:v>-17662609.377129469</c:v>
                </c:pt>
                <c:pt idx="19">
                  <c:v>-54383741.746103048</c:v>
                </c:pt>
                <c:pt idx="20">
                  <c:v>-45831466.135833398</c:v>
                </c:pt>
                <c:pt idx="21">
                  <c:v>-36547198.706425883</c:v>
                </c:pt>
                <c:pt idx="22">
                  <c:v>-69734482.757061213</c:v>
                </c:pt>
                <c:pt idx="23">
                  <c:v>-60711283.348724</c:v>
                </c:pt>
                <c:pt idx="24">
                  <c:v>-50901117.947947837</c:v>
                </c:pt>
                <c:pt idx="25">
                  <c:v>-40258028.97846587</c:v>
                </c:pt>
                <c:pt idx="26">
                  <c:v>-28733776.730214555</c:v>
                </c:pt>
                <c:pt idx="27">
                  <c:v>-57422992.604916014</c:v>
                </c:pt>
                <c:pt idx="28">
                  <c:v>-47635734.311298601</c:v>
                </c:pt>
                <c:pt idx="29">
                  <c:v>-37045620.637737259</c:v>
                </c:pt>
                <c:pt idx="30">
                  <c:v>-25607895.552299008</c:v>
                </c:pt>
                <c:pt idx="31">
                  <c:v>-13275702.931781629</c:v>
                </c:pt>
                <c:pt idx="32">
                  <c:v>3.5506673157215118E-9</c:v>
                </c:pt>
              </c:numCache>
            </c:numRef>
          </c:val>
          <c:smooth val="0"/>
          <c:extLst>
            <c:ext xmlns:c16="http://schemas.microsoft.com/office/drawing/2014/chart" uri="{C3380CC4-5D6E-409C-BE32-E72D297353CC}">
              <c16:uniqueId val="{00000000-DAE9-4399-88C2-EA4243034E80}"/>
            </c:ext>
          </c:extLst>
        </c:ser>
        <c:dLbls>
          <c:showLegendKey val="0"/>
          <c:showVal val="0"/>
          <c:showCatName val="0"/>
          <c:showSerName val="0"/>
          <c:showPercent val="0"/>
          <c:showBubbleSize val="0"/>
        </c:dLbls>
        <c:smooth val="0"/>
        <c:axId val="884085952"/>
        <c:axId val="884092184"/>
      </c:lineChart>
      <c:catAx>
        <c:axId val="884085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4092184"/>
        <c:crosses val="autoZero"/>
        <c:auto val="1"/>
        <c:lblAlgn val="ctr"/>
        <c:lblOffset val="100"/>
        <c:noMultiLvlLbl val="0"/>
      </c:catAx>
      <c:valAx>
        <c:axId val="884092184"/>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40859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9525</xdr:colOff>
      <xdr:row>2</xdr:row>
      <xdr:rowOff>76200</xdr:rowOff>
    </xdr:from>
    <xdr:to>
      <xdr:col>8</xdr:col>
      <xdr:colOff>1704975</xdr:colOff>
      <xdr:row>16</xdr:row>
      <xdr:rowOff>135890</xdr:rowOff>
    </xdr:to>
    <xdr:pic>
      <xdr:nvPicPr>
        <xdr:cNvPr id="2" name="Picture 1">
          <a:extLst>
            <a:ext uri="{FF2B5EF4-FFF2-40B4-BE49-F238E27FC236}">
              <a16:creationId xmlns:a16="http://schemas.microsoft.com/office/drawing/2014/main" id="{18821903-038B-4C33-9923-B35944614955}"/>
            </a:ext>
            <a:ext uri="{147F2762-F138-4A5C-976F-8EAC2B608ADB}">
              <a16:predDERef xmlns:a16="http://schemas.microsoft.com/office/drawing/2014/main" pred="{C623D109-3161-4296-81E8-8127EA2F2B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485775"/>
          <a:ext cx="6381750" cy="272669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590550</xdr:colOff>
      <xdr:row>3</xdr:row>
      <xdr:rowOff>0</xdr:rowOff>
    </xdr:from>
    <xdr:to>
      <xdr:col>26</xdr:col>
      <xdr:colOff>114300</xdr:colOff>
      <xdr:row>44</xdr:row>
      <xdr:rowOff>114300</xdr:rowOff>
    </xdr:to>
    <xdr:pic>
      <xdr:nvPicPr>
        <xdr:cNvPr id="2" name="Picture 1">
          <a:extLst>
            <a:ext uri="{FF2B5EF4-FFF2-40B4-BE49-F238E27FC236}">
              <a16:creationId xmlns:a16="http://schemas.microsoft.com/office/drawing/2014/main" id="{AE9C045B-B9FE-BE70-CF66-0B552C06EB91}"/>
            </a:ext>
          </a:extLst>
        </xdr:cNvPr>
        <xdr:cNvPicPr>
          <a:picLocks noChangeAspect="1"/>
        </xdr:cNvPicPr>
      </xdr:nvPicPr>
      <xdr:blipFill>
        <a:blip xmlns:r="http://schemas.openxmlformats.org/officeDocument/2006/relationships" r:embed="rId1"/>
        <a:stretch>
          <a:fillRect/>
        </a:stretch>
      </xdr:blipFill>
      <xdr:spPr>
        <a:xfrm>
          <a:off x="9734550" y="609600"/>
          <a:ext cx="6229350" cy="7953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274697</xdr:colOff>
      <xdr:row>52</xdr:row>
      <xdr:rowOff>130563</xdr:rowOff>
    </xdr:from>
    <xdr:to>
      <xdr:col>7</xdr:col>
      <xdr:colOff>1168161</xdr:colOff>
      <xdr:row>67</xdr:row>
      <xdr:rowOff>19139</xdr:rowOff>
    </xdr:to>
    <xdr:graphicFrame macro="">
      <xdr:nvGraphicFramePr>
        <xdr:cNvPr id="3" name="Chart 2">
          <a:extLst>
            <a:ext uri="{FF2B5EF4-FFF2-40B4-BE49-F238E27FC236}">
              <a16:creationId xmlns:a16="http://schemas.microsoft.com/office/drawing/2014/main" id="{4A15B7D7-912A-47CC-BAD6-23DE57495A7E}"/>
            </a:ext>
            <a:ext uri="{147F2762-F138-4A5C-976F-8EAC2B608ADB}">
              <a16:predDERef xmlns:a16="http://schemas.microsoft.com/office/drawing/2014/main" pred="{FE805223-15EA-47BB-893F-FFB2AE9E5B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calgarycity.sharepoint.com/sites/Off-SiteLevyCoreTeam-CG-OSLCoreTeaminternal/Shared%20Documents/OSL%20Core%20Team%20(internal)/OSL%20-%20Financial%20Modeling/Formatted%20Financial%20Models/Emergency%20Response%20Stations%20Detailed%20Benefit%20Analysis%20-%20July%202023.xlsx?5E5CCDCE" TargetMode="External"/><Relationship Id="rId1" Type="http://schemas.openxmlformats.org/officeDocument/2006/relationships/externalLinkPath" Target="file:///\\5E5CCDCE\Emergency%20Response%20Stations%20Detailed%20Benefit%20Analysis%20-%20July%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lvedere"/>
      <sheetName val="Glacier Ridge"/>
      <sheetName val="Haskayne"/>
      <sheetName val="Keystone"/>
      <sheetName val="Nose Creek"/>
      <sheetName val="Providence"/>
      <sheetName val="Rangeview"/>
      <sheetName val="Hotchkiss"/>
      <sheetName val="Belmont"/>
      <sheetName val="West View"/>
      <sheetName val="Shepard Industrial"/>
      <sheetName val="Fire_leviable_ERS"/>
      <sheetName val="Walden"/>
      <sheetName val="Skyview"/>
      <sheetName val="Stonegate"/>
      <sheetName val="ERS_TZs"/>
      <sheetName val="Befenfit Share ERS"/>
      <sheetName val="Population 2076"/>
      <sheetName val="TZ_level_benefit_share"/>
      <sheetName val="TZ_level_benefit_share (2)"/>
    </sheetNames>
    <sheetDataSet>
      <sheetData sheetId="0"/>
      <sheetData sheetId="1">
        <row r="7">
          <cell r="D7">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F3975-BA0E-49BC-8D62-04BBDD4EDBCA}">
  <sheetPr codeName="Sheet1"/>
  <dimension ref="A1:D16"/>
  <sheetViews>
    <sheetView showGridLines="0" tabSelected="1" zoomScaleNormal="100" workbookViewId="0">
      <selection activeCell="D11" sqref="D11"/>
    </sheetView>
  </sheetViews>
  <sheetFormatPr defaultColWidth="9.1796875" defaultRowHeight="14.5" x14ac:dyDescent="0.35"/>
  <cols>
    <col min="1" max="1" width="19.81640625" customWidth="1"/>
    <col min="2" max="2" width="36.54296875" customWidth="1"/>
    <col min="3" max="3" width="70.1796875" customWidth="1"/>
  </cols>
  <sheetData>
    <row r="1" spans="1:4" s="245" customFormat="1" ht="28.5" customHeight="1" x14ac:dyDescent="0.45">
      <c r="A1" s="243" t="s">
        <v>0</v>
      </c>
      <c r="B1" s="244"/>
      <c r="C1" s="244"/>
    </row>
    <row r="2" spans="1:4" ht="60.65" customHeight="1" x14ac:dyDescent="0.35">
      <c r="A2" s="372" t="s">
        <v>1</v>
      </c>
      <c r="B2" s="373"/>
      <c r="C2" s="373"/>
    </row>
    <row r="3" spans="1:4" ht="14.5" customHeight="1" x14ac:dyDescent="0.35">
      <c r="A3" s="373"/>
      <c r="B3" s="373"/>
      <c r="C3" s="373"/>
    </row>
    <row r="4" spans="1:4" x14ac:dyDescent="0.35">
      <c r="A4" s="44" t="s">
        <v>2</v>
      </c>
      <c r="B4" s="2"/>
      <c r="C4" s="2"/>
    </row>
    <row r="5" spans="1:4" x14ac:dyDescent="0.35">
      <c r="A5" s="48" t="s">
        <v>3</v>
      </c>
      <c r="B5" s="48" t="s">
        <v>4</v>
      </c>
      <c r="C5" s="48" t="s">
        <v>5</v>
      </c>
    </row>
    <row r="6" spans="1:4" ht="45.65" customHeight="1" x14ac:dyDescent="0.35">
      <c r="A6" s="45" t="s">
        <v>6</v>
      </c>
      <c r="B6" s="45" t="s">
        <v>7</v>
      </c>
      <c r="C6" s="47" t="s">
        <v>8</v>
      </c>
    </row>
    <row r="7" spans="1:4" ht="45.65" customHeight="1" x14ac:dyDescent="0.35">
      <c r="A7" s="45" t="s">
        <v>9</v>
      </c>
      <c r="B7" s="45" t="s">
        <v>10</v>
      </c>
      <c r="C7" s="47" t="s">
        <v>11</v>
      </c>
    </row>
    <row r="8" spans="1:4" ht="45.65" customHeight="1" x14ac:dyDescent="0.35">
      <c r="A8" s="45" t="s">
        <v>12</v>
      </c>
      <c r="B8" s="45" t="s">
        <v>13</v>
      </c>
      <c r="C8" s="47" t="s">
        <v>14</v>
      </c>
    </row>
    <row r="9" spans="1:4" ht="45.65" customHeight="1" x14ac:dyDescent="0.35">
      <c r="A9" s="45" t="s">
        <v>15</v>
      </c>
      <c r="B9" s="45" t="s">
        <v>16</v>
      </c>
      <c r="C9" s="47" t="s">
        <v>17</v>
      </c>
    </row>
    <row r="10" spans="1:4" ht="42" x14ac:dyDescent="0.35">
      <c r="A10" s="45" t="s">
        <v>18</v>
      </c>
      <c r="B10" s="47" t="s">
        <v>19</v>
      </c>
      <c r="C10" s="47" t="s">
        <v>20</v>
      </c>
    </row>
    <row r="11" spans="1:4" ht="25.5" customHeight="1" x14ac:dyDescent="0.35">
      <c r="A11" s="45" t="s">
        <v>21</v>
      </c>
      <c r="B11" s="47" t="s">
        <v>22</v>
      </c>
      <c r="C11" s="47" t="s">
        <v>23</v>
      </c>
    </row>
    <row r="12" spans="1:4" ht="59.25" customHeight="1" x14ac:dyDescent="0.35">
      <c r="A12" s="45" t="s">
        <v>24</v>
      </c>
      <c r="B12" s="47" t="s">
        <v>25</v>
      </c>
      <c r="C12" s="47" t="s">
        <v>26</v>
      </c>
      <c r="D12" s="80"/>
    </row>
    <row r="13" spans="1:4" x14ac:dyDescent="0.35">
      <c r="A13" s="46"/>
      <c r="B13" s="46"/>
      <c r="C13" s="80"/>
      <c r="D13" s="80"/>
    </row>
    <row r="14" spans="1:4" x14ac:dyDescent="0.35">
      <c r="A14" s="46"/>
      <c r="B14" s="46"/>
      <c r="C14" s="46"/>
    </row>
    <row r="15" spans="1:4" x14ac:dyDescent="0.35">
      <c r="A15" s="46"/>
      <c r="B15" s="46"/>
      <c r="C15" s="46"/>
    </row>
    <row r="16" spans="1:4" x14ac:dyDescent="0.35">
      <c r="A16" s="46"/>
      <c r="B16" s="46"/>
      <c r="C16" s="46"/>
    </row>
  </sheetData>
  <mergeCells count="1">
    <mergeCell ref="A2: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8771F-22F3-4A2A-B740-1AC9BB3AA5BD}">
  <sheetPr codeName="Sheet11">
    <pageSetUpPr fitToPage="1"/>
  </sheetPr>
  <dimension ref="A1:B16"/>
  <sheetViews>
    <sheetView workbookViewId="0">
      <selection activeCell="B15" sqref="B15"/>
    </sheetView>
  </sheetViews>
  <sheetFormatPr defaultColWidth="9.1796875" defaultRowHeight="14.5" x14ac:dyDescent="0.35"/>
  <cols>
    <col min="1" max="1" width="28.453125" style="28" customWidth="1"/>
    <col min="2" max="2" width="135" style="29" bestFit="1" customWidth="1"/>
    <col min="3" max="3" width="26" style="28" bestFit="1" customWidth="1"/>
    <col min="4" max="16384" width="9.1796875" style="28"/>
  </cols>
  <sheetData>
    <row r="1" spans="1:2" ht="15.5" x14ac:dyDescent="0.35">
      <c r="A1" s="258" t="s">
        <v>27</v>
      </c>
      <c r="B1" s="49"/>
    </row>
    <row r="2" spans="1:2" ht="15" customHeight="1" x14ac:dyDescent="0.35">
      <c r="A2" s="374" t="s">
        <v>28</v>
      </c>
      <c r="B2" s="375" t="s">
        <v>29</v>
      </c>
    </row>
    <row r="3" spans="1:2" ht="73.5" customHeight="1" x14ac:dyDescent="0.35">
      <c r="A3" s="376" t="s">
        <v>30</v>
      </c>
      <c r="B3" s="377"/>
    </row>
    <row r="4" spans="1:2" x14ac:dyDescent="0.35">
      <c r="A4" s="50"/>
      <c r="B4" s="49"/>
    </row>
    <row r="5" spans="1:2" x14ac:dyDescent="0.35">
      <c r="A5" s="50"/>
      <c r="B5" s="49"/>
    </row>
    <row r="6" spans="1:2" x14ac:dyDescent="0.35">
      <c r="A6" s="374" t="s">
        <v>31</v>
      </c>
      <c r="B6" s="375"/>
    </row>
    <row r="7" spans="1:2" ht="34.5" customHeight="1" x14ac:dyDescent="0.35">
      <c r="A7" s="51" t="s">
        <v>32</v>
      </c>
      <c r="B7" s="52" t="s">
        <v>33</v>
      </c>
    </row>
    <row r="8" spans="1:2" ht="28" x14ac:dyDescent="0.35">
      <c r="A8" s="53" t="s">
        <v>34</v>
      </c>
      <c r="B8" s="52" t="s">
        <v>35</v>
      </c>
    </row>
    <row r="9" spans="1:2" ht="20.25" customHeight="1" x14ac:dyDescent="0.35">
      <c r="A9" s="53" t="s">
        <v>36</v>
      </c>
      <c r="B9" s="52" t="s">
        <v>37</v>
      </c>
    </row>
    <row r="10" spans="1:2" ht="31.5" customHeight="1" x14ac:dyDescent="0.35">
      <c r="A10" s="53" t="s">
        <v>13</v>
      </c>
      <c r="B10" s="52" t="s">
        <v>38</v>
      </c>
    </row>
    <row r="11" spans="1:2" ht="64.5" customHeight="1" x14ac:dyDescent="0.35">
      <c r="A11" s="53" t="s">
        <v>39</v>
      </c>
      <c r="B11" s="52" t="s">
        <v>40</v>
      </c>
    </row>
    <row r="12" spans="1:2" x14ac:dyDescent="0.35">
      <c r="A12" s="54" t="s">
        <v>19</v>
      </c>
      <c r="B12" s="52" t="s">
        <v>41</v>
      </c>
    </row>
    <row r="13" spans="1:2" ht="28" x14ac:dyDescent="0.35">
      <c r="A13" s="53" t="s">
        <v>42</v>
      </c>
      <c r="B13" s="52" t="s">
        <v>43</v>
      </c>
    </row>
    <row r="14" spans="1:2" ht="42" x14ac:dyDescent="0.35">
      <c r="A14" s="53" t="s">
        <v>44</v>
      </c>
      <c r="B14" s="52" t="s">
        <v>45</v>
      </c>
    </row>
    <row r="15" spans="1:2" ht="24.75" customHeight="1" x14ac:dyDescent="0.35">
      <c r="A15" s="55" t="s">
        <v>46</v>
      </c>
      <c r="B15" s="56" t="s">
        <v>47</v>
      </c>
    </row>
    <row r="16" spans="1:2" x14ac:dyDescent="0.35">
      <c r="A16" s="49"/>
      <c r="B16" s="49"/>
    </row>
  </sheetData>
  <mergeCells count="3">
    <mergeCell ref="A2:B2"/>
    <mergeCell ref="A3:B3"/>
    <mergeCell ref="A6:B6"/>
  </mergeCells>
  <pageMargins left="0.7" right="0.7" top="0.75" bottom="0.75" header="0.3" footer="0.3"/>
  <pageSetup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29A21-2728-4DC2-BD08-76D378B85D2C}">
  <sheetPr codeName="Sheet3">
    <pageSetUpPr fitToPage="1"/>
  </sheetPr>
  <dimension ref="A1:L37"/>
  <sheetViews>
    <sheetView showGridLines="0" workbookViewId="0">
      <selection sqref="A1:XFD1048576"/>
    </sheetView>
  </sheetViews>
  <sheetFormatPr defaultRowHeight="14.5" x14ac:dyDescent="0.35"/>
  <cols>
    <col min="1" max="1" width="2.7265625" customWidth="1"/>
    <col min="2" max="8" width="23.453125" customWidth="1"/>
    <col min="9" max="9" width="26.81640625" customWidth="1"/>
    <col min="10" max="10" width="23.453125" customWidth="1"/>
  </cols>
  <sheetData>
    <row r="1" spans="1:12" ht="15.5" x14ac:dyDescent="0.35">
      <c r="A1" s="258" t="s">
        <v>48</v>
      </c>
    </row>
    <row r="2" spans="1:12" x14ac:dyDescent="0.35">
      <c r="A2" s="246" t="s">
        <v>49</v>
      </c>
      <c r="B2" s="42"/>
      <c r="C2" s="42"/>
      <c r="D2" s="42"/>
      <c r="E2" s="42"/>
      <c r="F2" s="57" t="s">
        <v>50</v>
      </c>
    </row>
    <row r="3" spans="1:12" ht="15" customHeight="1" x14ac:dyDescent="0.35">
      <c r="A3" s="30"/>
      <c r="B3" s="378" t="s">
        <v>277</v>
      </c>
      <c r="C3" s="378"/>
      <c r="D3" s="378"/>
      <c r="E3" s="378"/>
      <c r="F3" s="31"/>
      <c r="G3" s="31"/>
      <c r="H3" s="31"/>
      <c r="I3" s="31"/>
      <c r="J3" s="31"/>
      <c r="K3" s="31"/>
      <c r="L3" s="31"/>
    </row>
    <row r="4" spans="1:12" x14ac:dyDescent="0.35">
      <c r="A4" s="30"/>
      <c r="B4" s="378"/>
      <c r="C4" s="378"/>
      <c r="D4" s="378"/>
      <c r="E4" s="378"/>
      <c r="F4" s="31"/>
      <c r="G4" s="31"/>
      <c r="H4" s="31"/>
      <c r="I4" s="31"/>
      <c r="J4" s="31"/>
      <c r="K4" s="31"/>
      <c r="L4" s="31"/>
    </row>
    <row r="5" spans="1:12" x14ac:dyDescent="0.35">
      <c r="A5" s="30"/>
      <c r="B5" s="378"/>
      <c r="C5" s="378"/>
      <c r="D5" s="378"/>
      <c r="E5" s="378"/>
      <c r="F5" s="31"/>
      <c r="G5" s="31"/>
      <c r="H5" s="31"/>
      <c r="I5" s="31"/>
      <c r="J5" s="31"/>
      <c r="K5" s="31"/>
      <c r="L5" s="31"/>
    </row>
    <row r="6" spans="1:12" x14ac:dyDescent="0.35">
      <c r="A6" s="30"/>
      <c r="B6" s="378"/>
      <c r="C6" s="378"/>
      <c r="D6" s="378"/>
      <c r="E6" s="378"/>
      <c r="F6" s="31"/>
      <c r="G6" s="31"/>
      <c r="H6" s="31"/>
      <c r="I6" s="31"/>
      <c r="J6" s="31"/>
      <c r="K6" s="31"/>
      <c r="L6" s="31"/>
    </row>
    <row r="7" spans="1:12" x14ac:dyDescent="0.35">
      <c r="A7" s="30"/>
      <c r="B7" s="378"/>
      <c r="C7" s="378"/>
      <c r="D7" s="378"/>
      <c r="E7" s="378"/>
      <c r="F7" s="31"/>
      <c r="G7" s="31"/>
      <c r="H7" s="31"/>
      <c r="I7" s="31"/>
      <c r="J7" s="31"/>
      <c r="K7" s="31"/>
      <c r="L7" s="31"/>
    </row>
    <row r="8" spans="1:12" x14ac:dyDescent="0.35">
      <c r="A8" s="30"/>
      <c r="B8" s="378"/>
      <c r="C8" s="378"/>
      <c r="D8" s="378"/>
      <c r="E8" s="378"/>
      <c r="F8" s="31"/>
      <c r="G8" s="31"/>
      <c r="H8" s="31"/>
      <c r="I8" s="31"/>
      <c r="J8" s="31"/>
      <c r="K8" s="31"/>
      <c r="L8" s="31"/>
    </row>
    <row r="9" spans="1:12" x14ac:dyDescent="0.35">
      <c r="A9" s="30"/>
      <c r="B9" s="378"/>
      <c r="C9" s="378"/>
      <c r="D9" s="378"/>
      <c r="E9" s="378"/>
      <c r="F9" s="31"/>
      <c r="G9" s="31"/>
      <c r="H9" s="31"/>
      <c r="I9" s="31"/>
      <c r="J9" s="31"/>
      <c r="K9" s="31"/>
      <c r="L9" s="31"/>
    </row>
    <row r="10" spans="1:12" x14ac:dyDescent="0.35">
      <c r="A10" s="30"/>
      <c r="B10" s="378"/>
      <c r="C10" s="378"/>
      <c r="D10" s="378"/>
      <c r="E10" s="378"/>
      <c r="F10" s="31"/>
      <c r="G10" s="31"/>
      <c r="H10" s="31"/>
      <c r="I10" s="31"/>
      <c r="J10" s="31"/>
      <c r="K10" s="31"/>
      <c r="L10" s="31"/>
    </row>
    <row r="11" spans="1:12" x14ac:dyDescent="0.35">
      <c r="A11" s="30"/>
      <c r="B11" s="378"/>
      <c r="C11" s="378"/>
      <c r="D11" s="378"/>
      <c r="E11" s="378"/>
      <c r="F11" s="31"/>
      <c r="G11" s="31"/>
      <c r="H11" s="31"/>
      <c r="I11" s="31"/>
      <c r="J11" s="31"/>
      <c r="K11" s="31"/>
      <c r="L11" s="31"/>
    </row>
    <row r="12" spans="1:12" x14ac:dyDescent="0.35">
      <c r="A12" s="30"/>
      <c r="B12" s="378"/>
      <c r="C12" s="378"/>
      <c r="D12" s="378"/>
      <c r="E12" s="378"/>
      <c r="F12" s="31"/>
      <c r="G12" s="31"/>
      <c r="H12" s="31"/>
      <c r="I12" s="31"/>
      <c r="J12" s="31"/>
      <c r="K12" s="31"/>
      <c r="L12" s="31"/>
    </row>
    <row r="13" spans="1:12" x14ac:dyDescent="0.35">
      <c r="A13" s="30"/>
      <c r="B13" s="378"/>
      <c r="C13" s="378"/>
      <c r="D13" s="378"/>
      <c r="E13" s="378"/>
      <c r="F13" s="31"/>
      <c r="G13" s="31"/>
      <c r="H13" s="31"/>
      <c r="I13" s="31"/>
      <c r="J13" s="31"/>
      <c r="K13" s="31"/>
      <c r="L13" s="31"/>
    </row>
    <row r="14" spans="1:12" x14ac:dyDescent="0.35">
      <c r="A14" s="30"/>
      <c r="B14" s="378"/>
      <c r="C14" s="378"/>
      <c r="D14" s="378"/>
      <c r="E14" s="378"/>
      <c r="F14" s="31"/>
      <c r="G14" s="31"/>
      <c r="H14" s="31"/>
      <c r="I14" s="31"/>
      <c r="J14" s="31"/>
      <c r="K14" s="31"/>
      <c r="L14" s="31"/>
    </row>
    <row r="15" spans="1:12" x14ac:dyDescent="0.35">
      <c r="A15" s="30"/>
      <c r="B15" s="378"/>
      <c r="C15" s="378"/>
      <c r="D15" s="378"/>
      <c r="E15" s="378"/>
      <c r="F15" s="31"/>
      <c r="G15" s="31"/>
      <c r="H15" s="31"/>
      <c r="I15" s="31"/>
      <c r="J15" s="31"/>
      <c r="K15" s="31"/>
      <c r="L15" s="31"/>
    </row>
    <row r="16" spans="1:12" x14ac:dyDescent="0.35">
      <c r="A16" s="30"/>
      <c r="B16" s="378"/>
      <c r="C16" s="378"/>
      <c r="D16" s="378"/>
      <c r="E16" s="378"/>
      <c r="F16" s="31"/>
      <c r="G16" s="31"/>
      <c r="H16" s="31"/>
      <c r="I16" s="31"/>
      <c r="J16" s="31"/>
      <c r="K16" s="31"/>
      <c r="L16" s="31"/>
    </row>
    <row r="17" spans="1:12" x14ac:dyDescent="0.35">
      <c r="A17" s="30"/>
      <c r="B17" s="378"/>
      <c r="C17" s="378"/>
      <c r="D17" s="378"/>
      <c r="E17" s="378"/>
      <c r="F17" s="31"/>
      <c r="G17" s="31"/>
      <c r="H17" s="31"/>
      <c r="I17" s="31"/>
      <c r="J17" s="31"/>
      <c r="K17" s="31"/>
      <c r="L17" s="31"/>
    </row>
    <row r="18" spans="1:12" x14ac:dyDescent="0.35">
      <c r="A18" s="30"/>
      <c r="B18" s="378"/>
      <c r="C18" s="378"/>
      <c r="D18" s="378"/>
      <c r="E18" s="378"/>
      <c r="F18" s="31"/>
      <c r="G18" s="31"/>
      <c r="H18" s="31"/>
      <c r="I18" s="31"/>
      <c r="J18" s="31"/>
      <c r="K18" s="31"/>
      <c r="L18" s="31"/>
    </row>
    <row r="19" spans="1:12" x14ac:dyDescent="0.35">
      <c r="A19" s="30"/>
      <c r="B19" s="378"/>
      <c r="C19" s="378"/>
      <c r="D19" s="378"/>
      <c r="E19" s="378"/>
      <c r="F19" s="31"/>
      <c r="G19" s="31"/>
      <c r="H19" s="31"/>
      <c r="I19" s="31"/>
      <c r="J19" s="31"/>
      <c r="K19" s="31"/>
      <c r="L19" s="31"/>
    </row>
    <row r="20" spans="1:12" x14ac:dyDescent="0.35">
      <c r="A20" s="30"/>
      <c r="B20" s="378"/>
      <c r="C20" s="378"/>
      <c r="D20" s="378"/>
      <c r="E20" s="378"/>
      <c r="F20" s="31"/>
      <c r="G20" s="31"/>
      <c r="H20" s="31"/>
      <c r="I20" s="31"/>
      <c r="J20" s="31"/>
      <c r="K20" s="31"/>
      <c r="L20" s="31"/>
    </row>
    <row r="21" spans="1:12" x14ac:dyDescent="0.35">
      <c r="A21" s="30"/>
      <c r="B21" s="247"/>
      <c r="C21" s="247"/>
      <c r="D21" s="247"/>
      <c r="E21" s="247"/>
      <c r="F21" s="31"/>
      <c r="G21" s="31"/>
      <c r="H21" s="31"/>
      <c r="I21" s="31"/>
      <c r="J21" s="31"/>
      <c r="K21" s="31"/>
      <c r="L21" s="31"/>
    </row>
    <row r="22" spans="1:12" x14ac:dyDescent="0.35">
      <c r="A22" s="30"/>
      <c r="B22" s="247"/>
      <c r="C22" s="247"/>
      <c r="D22" s="247"/>
      <c r="E22" s="247"/>
      <c r="F22" s="31"/>
      <c r="G22" s="31"/>
      <c r="H22" s="31"/>
      <c r="I22" s="31"/>
      <c r="J22" s="31"/>
      <c r="K22" s="31"/>
    </row>
    <row r="23" spans="1:12" x14ac:dyDescent="0.35">
      <c r="A23" s="30"/>
    </row>
    <row r="24" spans="1:12" x14ac:dyDescent="0.35">
      <c r="A24" s="30"/>
      <c r="B24" s="58" t="s">
        <v>51</v>
      </c>
      <c r="C24" s="59" t="s">
        <v>52</v>
      </c>
      <c r="D24" s="58" t="s">
        <v>53</v>
      </c>
      <c r="E24" s="59" t="s">
        <v>54</v>
      </c>
      <c r="F24" s="58" t="s">
        <v>55</v>
      </c>
      <c r="G24" s="59" t="s">
        <v>56</v>
      </c>
      <c r="H24" s="58" t="s">
        <v>57</v>
      </c>
      <c r="I24" s="59" t="s">
        <v>58</v>
      </c>
    </row>
    <row r="25" spans="1:12" x14ac:dyDescent="0.35">
      <c r="A25" s="30"/>
      <c r="B25" s="200" t="s">
        <v>59</v>
      </c>
      <c r="C25" s="201" t="s">
        <v>60</v>
      </c>
      <c r="D25" s="200" t="s">
        <v>61</v>
      </c>
      <c r="E25" s="201" t="s">
        <v>62</v>
      </c>
      <c r="F25" s="200" t="s">
        <v>63</v>
      </c>
      <c r="G25" s="201" t="s">
        <v>64</v>
      </c>
      <c r="H25" s="200" t="s">
        <v>65</v>
      </c>
      <c r="I25" s="201" t="s">
        <v>66</v>
      </c>
    </row>
    <row r="26" spans="1:12" ht="100" x14ac:dyDescent="0.35">
      <c r="A26" s="30"/>
      <c r="B26" s="202" t="s">
        <v>67</v>
      </c>
      <c r="C26" s="203" t="s">
        <v>68</v>
      </c>
      <c r="D26" s="202" t="s">
        <v>69</v>
      </c>
      <c r="E26" s="203" t="s">
        <v>70</v>
      </c>
      <c r="F26" s="202" t="s">
        <v>71</v>
      </c>
      <c r="G26" s="203" t="s">
        <v>72</v>
      </c>
      <c r="H26" s="202" t="s">
        <v>73</v>
      </c>
      <c r="I26" s="203" t="s">
        <v>74</v>
      </c>
      <c r="J26" s="1"/>
      <c r="K26" s="1"/>
      <c r="L26" s="1"/>
    </row>
    <row r="27" spans="1:12" x14ac:dyDescent="0.35">
      <c r="A27" s="30"/>
      <c r="B27" s="60" t="s">
        <v>75</v>
      </c>
      <c r="C27" s="61" t="s">
        <v>76</v>
      </c>
      <c r="D27" s="60" t="s">
        <v>77</v>
      </c>
      <c r="E27" s="61" t="s">
        <v>78</v>
      </c>
      <c r="F27" s="60" t="s">
        <v>79</v>
      </c>
      <c r="G27" s="61" t="s">
        <v>80</v>
      </c>
      <c r="H27" s="60" t="s">
        <v>81</v>
      </c>
      <c r="I27" s="61" t="s">
        <v>82</v>
      </c>
    </row>
    <row r="28" spans="1:12" x14ac:dyDescent="0.35">
      <c r="A28" s="30"/>
      <c r="B28" s="204">
        <f>SUM('Tab 4 - Infrastructure'!D12:D19)</f>
        <v>160250000</v>
      </c>
      <c r="C28" s="205">
        <f>SUM('Tab 6 - Financial Model'!G14:G21)</f>
        <v>147502500</v>
      </c>
      <c r="D28" s="204">
        <f>'Tab 6 - Financial Model'!I25</f>
        <v>281433301.23423111</v>
      </c>
      <c r="E28" s="205">
        <f>'Tab 6 - Financial Model'!I26</f>
        <v>131033057.74872795</v>
      </c>
      <c r="F28" s="204">
        <f>'Tab 6 - Financial Model'!E33</f>
        <v>9069</v>
      </c>
      <c r="G28" s="205">
        <f>'Tab 6 - Financial Model'!I34</f>
        <v>306664750.71127456</v>
      </c>
      <c r="H28" s="204">
        <f>'Tab 6 - Financial Model'!I40</f>
        <v>-25231449.477043353</v>
      </c>
      <c r="I28" s="205">
        <f>'Tab 6 - Financial Model'!C3</f>
        <v>17091.509935634462</v>
      </c>
    </row>
    <row r="29" spans="1:12" x14ac:dyDescent="0.35">
      <c r="A29" s="30"/>
      <c r="B29" s="62" t="s">
        <v>83</v>
      </c>
      <c r="C29" s="199" t="s">
        <v>83</v>
      </c>
      <c r="D29" s="62" t="s">
        <v>83</v>
      </c>
      <c r="E29" s="199" t="s">
        <v>83</v>
      </c>
      <c r="F29" s="62" t="s">
        <v>84</v>
      </c>
      <c r="G29" s="199" t="s">
        <v>83</v>
      </c>
      <c r="H29" s="62" t="s">
        <v>83</v>
      </c>
      <c r="I29" s="199" t="s">
        <v>83</v>
      </c>
    </row>
    <row r="30" spans="1:12" x14ac:dyDescent="0.35">
      <c r="A30" s="30"/>
      <c r="B30" s="63"/>
      <c r="C30" s="64"/>
      <c r="D30" s="63"/>
      <c r="E30" s="64"/>
      <c r="F30" s="63"/>
      <c r="G30" s="64"/>
      <c r="H30" s="63"/>
      <c r="I30" s="64"/>
    </row>
    <row r="31" spans="1:12" x14ac:dyDescent="0.35">
      <c r="A31" s="30"/>
      <c r="B31" s="63"/>
      <c r="C31" s="64"/>
      <c r="D31" s="63"/>
      <c r="E31" s="64"/>
      <c r="F31" s="63"/>
      <c r="G31" s="64"/>
      <c r="H31" s="63"/>
      <c r="I31" s="64"/>
    </row>
    <row r="32" spans="1:12" x14ac:dyDescent="0.35">
      <c r="A32" s="30"/>
      <c r="B32" s="65"/>
      <c r="C32" s="66"/>
      <c r="D32" s="65"/>
      <c r="E32" s="66"/>
      <c r="F32" s="65"/>
      <c r="G32" s="66"/>
      <c r="H32" s="65"/>
      <c r="I32" s="66"/>
    </row>
    <row r="33" spans="1:9" x14ac:dyDescent="0.35">
      <c r="A33" s="30"/>
      <c r="B33" s="65"/>
      <c r="C33" s="66"/>
      <c r="D33" s="65"/>
      <c r="E33" s="66"/>
      <c r="F33" s="65"/>
      <c r="G33" s="66"/>
      <c r="H33" s="65"/>
      <c r="I33" s="66"/>
    </row>
    <row r="34" spans="1:9" x14ac:dyDescent="0.35">
      <c r="A34" s="30"/>
      <c r="B34" s="67"/>
      <c r="C34" s="68"/>
      <c r="D34" s="67"/>
      <c r="E34" s="68"/>
      <c r="F34" s="67"/>
      <c r="G34" s="68"/>
      <c r="H34" s="67"/>
      <c r="I34" s="68"/>
    </row>
    <row r="35" spans="1:9" x14ac:dyDescent="0.35">
      <c r="A35" s="30"/>
    </row>
    <row r="36" spans="1:9" x14ac:dyDescent="0.35">
      <c r="A36" s="30"/>
    </row>
    <row r="37" spans="1:9" x14ac:dyDescent="0.35">
      <c r="A37" s="30"/>
    </row>
  </sheetData>
  <mergeCells count="1">
    <mergeCell ref="B3:E20"/>
  </mergeCells>
  <phoneticPr fontId="4" type="noConversion"/>
  <pageMargins left="0.7" right="0.7" top="0.75" bottom="0.75" header="0.3" footer="0.3"/>
  <pageSetup scale="5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E3CB3-01FC-412E-AAC1-87C71A0AE348}">
  <sheetPr codeName="Sheet5"/>
  <dimension ref="A3:AN30"/>
  <sheetViews>
    <sheetView showGridLines="0" topLeftCell="A2" zoomScale="130" zoomScaleNormal="130" workbookViewId="0">
      <selection activeCell="B26" sqref="B26"/>
    </sheetView>
  </sheetViews>
  <sheetFormatPr defaultColWidth="22.81640625" defaultRowHeight="14.5" x14ac:dyDescent="0.35"/>
  <cols>
    <col min="1" max="1" width="23.1796875" customWidth="1"/>
    <col min="2" max="2" width="13.26953125" bestFit="1" customWidth="1"/>
    <col min="3" max="3" width="9.54296875" bestFit="1" customWidth="1"/>
    <col min="4" max="4" width="13.26953125" bestFit="1" customWidth="1"/>
    <col min="5" max="5" width="14.453125" customWidth="1"/>
    <col min="6" max="6" width="11.54296875" customWidth="1"/>
    <col min="7" max="7" width="13.26953125" bestFit="1" customWidth="1"/>
    <col min="8" max="8" width="13.81640625" bestFit="1" customWidth="1"/>
    <col min="9" max="10" width="15.1796875" bestFit="1" customWidth="1"/>
    <col min="11" max="11" width="13.81640625" bestFit="1" customWidth="1"/>
    <col min="12" max="12" width="14.7265625" bestFit="1" customWidth="1"/>
    <col min="13" max="14" width="15.7265625" bestFit="1" customWidth="1"/>
    <col min="15" max="16" width="14.7265625" bestFit="1" customWidth="1"/>
    <col min="17" max="26" width="15.7265625" bestFit="1" customWidth="1"/>
    <col min="27" max="30" width="16.81640625" bestFit="1" customWidth="1"/>
    <col min="31" max="38" width="15.7265625" bestFit="1" customWidth="1"/>
    <col min="39" max="39" width="15.1796875" bestFit="1" customWidth="1"/>
    <col min="40" max="40" width="13.54296875" bestFit="1" customWidth="1"/>
  </cols>
  <sheetData>
    <row r="3" spans="1:40" x14ac:dyDescent="0.35">
      <c r="A3" t="s">
        <v>32</v>
      </c>
      <c r="B3" s="6">
        <v>3.5299999999999998E-2</v>
      </c>
      <c r="C3" s="6"/>
      <c r="D3" s="6"/>
    </row>
    <row r="4" spans="1:40" x14ac:dyDescent="0.35">
      <c r="A4" t="s">
        <v>85</v>
      </c>
      <c r="B4" s="6">
        <v>4.2900000000000001E-2</v>
      </c>
      <c r="C4" s="6"/>
      <c r="D4" s="6"/>
    </row>
    <row r="5" spans="1:40" x14ac:dyDescent="0.35">
      <c r="G5" s="8"/>
    </row>
    <row r="6" spans="1:40" s="1" customFormat="1" ht="30.75" customHeight="1" x14ac:dyDescent="0.35">
      <c r="B6" s="1" t="s">
        <v>86</v>
      </c>
      <c r="C6" s="14" t="s">
        <v>87</v>
      </c>
      <c r="D6" s="1" t="s">
        <v>88</v>
      </c>
      <c r="E6" s="14" t="s">
        <v>89</v>
      </c>
      <c r="F6" s="14"/>
      <c r="H6" s="1">
        <v>1</v>
      </c>
      <c r="I6" s="1">
        <v>2</v>
      </c>
      <c r="J6" s="1">
        <v>3</v>
      </c>
      <c r="K6" s="1">
        <v>4</v>
      </c>
      <c r="L6" s="1">
        <v>5</v>
      </c>
      <c r="M6" s="1">
        <v>6</v>
      </c>
      <c r="N6" s="1">
        <v>7</v>
      </c>
      <c r="O6" s="1">
        <v>8</v>
      </c>
      <c r="P6" s="1">
        <v>9</v>
      </c>
      <c r="Q6" s="1">
        <v>10</v>
      </c>
      <c r="R6" s="1">
        <v>11</v>
      </c>
      <c r="S6" s="1">
        <v>12</v>
      </c>
      <c r="T6" s="1">
        <v>13</v>
      </c>
      <c r="U6" s="1">
        <v>14</v>
      </c>
      <c r="V6" s="1">
        <v>15</v>
      </c>
      <c r="W6" s="1">
        <v>16</v>
      </c>
      <c r="X6" s="1">
        <v>17</v>
      </c>
      <c r="Y6" s="1">
        <v>18</v>
      </c>
      <c r="Z6" s="1">
        <v>19</v>
      </c>
      <c r="AA6" s="1">
        <v>20</v>
      </c>
      <c r="AB6" s="1">
        <v>21</v>
      </c>
      <c r="AC6" s="1">
        <v>22</v>
      </c>
      <c r="AD6" s="1">
        <v>23</v>
      </c>
      <c r="AE6" s="1">
        <v>24</v>
      </c>
      <c r="AF6" s="1">
        <v>25</v>
      </c>
      <c r="AG6" s="1">
        <v>26</v>
      </c>
      <c r="AH6" s="1">
        <v>27</v>
      </c>
      <c r="AI6" s="1">
        <v>28</v>
      </c>
      <c r="AJ6" s="1">
        <v>29</v>
      </c>
      <c r="AK6" s="1">
        <v>30</v>
      </c>
      <c r="AL6" s="1">
        <v>31</v>
      </c>
      <c r="AM6" s="1">
        <v>32</v>
      </c>
      <c r="AN6" s="1">
        <v>33</v>
      </c>
    </row>
    <row r="7" spans="1:40" x14ac:dyDescent="0.35">
      <c r="G7" s="7"/>
      <c r="H7" s="7">
        <v>2023</v>
      </c>
      <c r="I7" s="7">
        <v>2024</v>
      </c>
      <c r="J7" s="7">
        <v>2025</v>
      </c>
      <c r="K7" s="7">
        <v>2026</v>
      </c>
      <c r="L7" s="7">
        <v>2027</v>
      </c>
      <c r="M7" s="7">
        <v>2028</v>
      </c>
      <c r="N7" s="7">
        <v>2029</v>
      </c>
      <c r="O7" s="7">
        <v>2030</v>
      </c>
      <c r="P7" s="7">
        <v>2031</v>
      </c>
      <c r="Q7" s="7">
        <v>2032</v>
      </c>
      <c r="R7" s="7">
        <v>2033</v>
      </c>
      <c r="S7" s="7">
        <v>2034</v>
      </c>
      <c r="T7" s="7">
        <v>2035</v>
      </c>
      <c r="U7" s="7">
        <v>2036</v>
      </c>
      <c r="V7" s="7">
        <v>2037</v>
      </c>
      <c r="W7" s="7">
        <v>2038</v>
      </c>
      <c r="X7" s="7">
        <v>2039</v>
      </c>
      <c r="Y7" s="7">
        <v>2040</v>
      </c>
      <c r="Z7" s="7">
        <v>2041</v>
      </c>
      <c r="AA7" s="7">
        <v>2042</v>
      </c>
      <c r="AB7" s="7">
        <v>2043</v>
      </c>
      <c r="AC7" s="7">
        <v>2044</v>
      </c>
      <c r="AD7" s="7">
        <v>2045</v>
      </c>
      <c r="AE7" s="7">
        <v>2046</v>
      </c>
      <c r="AF7" s="7">
        <v>2047</v>
      </c>
      <c r="AG7" s="7">
        <v>2048</v>
      </c>
      <c r="AH7" s="7">
        <v>2049</v>
      </c>
      <c r="AI7" s="7">
        <v>2050</v>
      </c>
      <c r="AJ7" s="7">
        <v>2051</v>
      </c>
      <c r="AK7" s="7">
        <v>2052</v>
      </c>
      <c r="AL7" s="7">
        <v>2053</v>
      </c>
      <c r="AM7" s="7">
        <v>2054</v>
      </c>
      <c r="AN7" s="7">
        <v>2055</v>
      </c>
    </row>
    <row r="8" spans="1:40" x14ac:dyDescent="0.35">
      <c r="A8" t="s">
        <v>90</v>
      </c>
      <c r="B8" s="12">
        <v>18000000</v>
      </c>
      <c r="C8" s="23">
        <v>0.78804997384493936</v>
      </c>
      <c r="D8" s="12">
        <f>B8*C8</f>
        <v>14184899.529208908</v>
      </c>
      <c r="E8">
        <v>4</v>
      </c>
      <c r="H8" s="4">
        <f t="shared" ref="H8:H17" si="0">IF($E8=H$6,$D8,0)*(1+$B$3)^H$6</f>
        <v>0</v>
      </c>
      <c r="I8" s="4">
        <f t="shared" ref="I8:AN15" si="1">IF($E8=I$6,$D8,0)*(1+$B$3)^I$6</f>
        <v>0</v>
      </c>
      <c r="J8" s="4">
        <f t="shared" si="1"/>
        <v>0</v>
      </c>
      <c r="K8" s="4">
        <f>IF($E8=K$6,$D8,0)*(1+$B$3)^K$6</f>
        <v>16296379.140321648</v>
      </c>
      <c r="L8" s="4">
        <f>IF($E8=L$6,$D8,0)*(1+$B$3)^L$6</f>
        <v>0</v>
      </c>
      <c r="M8" s="4">
        <f t="shared" si="1"/>
        <v>0</v>
      </c>
      <c r="N8" s="4">
        <f t="shared" si="1"/>
        <v>0</v>
      </c>
      <c r="O8" s="4">
        <f t="shared" si="1"/>
        <v>0</v>
      </c>
      <c r="P8" s="4">
        <f t="shared" si="1"/>
        <v>0</v>
      </c>
      <c r="Q8" s="4">
        <f t="shared" si="1"/>
        <v>0</v>
      </c>
      <c r="R8" s="4">
        <f t="shared" si="1"/>
        <v>0</v>
      </c>
      <c r="S8" s="4">
        <f t="shared" si="1"/>
        <v>0</v>
      </c>
      <c r="T8" s="4">
        <f t="shared" si="1"/>
        <v>0</v>
      </c>
      <c r="U8" s="4">
        <f t="shared" si="1"/>
        <v>0</v>
      </c>
      <c r="V8" s="4">
        <f t="shared" si="1"/>
        <v>0</v>
      </c>
      <c r="W8" s="4">
        <f t="shared" si="1"/>
        <v>0</v>
      </c>
      <c r="X8" s="4">
        <f t="shared" si="1"/>
        <v>0</v>
      </c>
      <c r="Y8" s="4">
        <f t="shared" si="1"/>
        <v>0</v>
      </c>
      <c r="Z8" s="4">
        <f t="shared" si="1"/>
        <v>0</v>
      </c>
      <c r="AA8" s="4">
        <f t="shared" si="1"/>
        <v>0</v>
      </c>
      <c r="AB8" s="4">
        <f t="shared" si="1"/>
        <v>0</v>
      </c>
      <c r="AC8" s="4">
        <f t="shared" si="1"/>
        <v>0</v>
      </c>
      <c r="AD8" s="4">
        <f t="shared" si="1"/>
        <v>0</v>
      </c>
      <c r="AE8" s="4">
        <f t="shared" si="1"/>
        <v>0</v>
      </c>
      <c r="AF8" s="4">
        <f t="shared" si="1"/>
        <v>0</v>
      </c>
      <c r="AG8" s="4">
        <f t="shared" si="1"/>
        <v>0</v>
      </c>
      <c r="AH8" s="4">
        <f t="shared" si="1"/>
        <v>0</v>
      </c>
      <c r="AI8" s="4">
        <f t="shared" si="1"/>
        <v>0</v>
      </c>
      <c r="AJ8" s="4">
        <f t="shared" si="1"/>
        <v>0</v>
      </c>
      <c r="AK8" s="4">
        <f t="shared" si="1"/>
        <v>0</v>
      </c>
      <c r="AL8" s="4">
        <f t="shared" si="1"/>
        <v>0</v>
      </c>
      <c r="AM8" s="4">
        <f t="shared" si="1"/>
        <v>0</v>
      </c>
      <c r="AN8" s="4">
        <f t="shared" si="1"/>
        <v>0</v>
      </c>
    </row>
    <row r="9" spans="1:40" x14ac:dyDescent="0.35">
      <c r="A9" t="s">
        <v>91</v>
      </c>
      <c r="B9" s="12">
        <v>18000000</v>
      </c>
      <c r="C9" s="23">
        <v>0.75614010627916628</v>
      </c>
      <c r="D9" s="12">
        <f t="shared" ref="D9:D17" si="2">B9*C9</f>
        <v>13610521.913024994</v>
      </c>
      <c r="E9">
        <v>5</v>
      </c>
      <c r="H9" s="4">
        <f t="shared" si="0"/>
        <v>0</v>
      </c>
      <c r="I9" s="4">
        <f t="shared" si="1"/>
        <v>0</v>
      </c>
      <c r="J9" s="4">
        <f t="shared" si="1"/>
        <v>0</v>
      </c>
      <c r="K9" s="4">
        <f t="shared" si="1"/>
        <v>0</v>
      </c>
      <c r="L9" s="4">
        <f t="shared" si="1"/>
        <v>16188471.654368239</v>
      </c>
      <c r="M9" s="4">
        <f t="shared" si="1"/>
        <v>0</v>
      </c>
      <c r="N9" s="4">
        <f t="shared" si="1"/>
        <v>0</v>
      </c>
      <c r="O9" s="4">
        <f t="shared" si="1"/>
        <v>0</v>
      </c>
      <c r="P9" s="4">
        <f t="shared" si="1"/>
        <v>0</v>
      </c>
      <c r="Q9" s="4">
        <f t="shared" si="1"/>
        <v>0</v>
      </c>
      <c r="R9" s="4">
        <f t="shared" si="1"/>
        <v>0</v>
      </c>
      <c r="S9" s="4">
        <f t="shared" si="1"/>
        <v>0</v>
      </c>
      <c r="T9" s="4">
        <f t="shared" si="1"/>
        <v>0</v>
      </c>
      <c r="U9" s="4">
        <f t="shared" si="1"/>
        <v>0</v>
      </c>
      <c r="V9" s="4">
        <f t="shared" si="1"/>
        <v>0</v>
      </c>
      <c r="W9" s="4">
        <f t="shared" si="1"/>
        <v>0</v>
      </c>
      <c r="X9" s="4">
        <f t="shared" si="1"/>
        <v>0</v>
      </c>
      <c r="Y9" s="4">
        <f t="shared" si="1"/>
        <v>0</v>
      </c>
      <c r="Z9" s="4">
        <f t="shared" si="1"/>
        <v>0</v>
      </c>
      <c r="AA9" s="4">
        <f t="shared" si="1"/>
        <v>0</v>
      </c>
      <c r="AB9" s="4">
        <f t="shared" si="1"/>
        <v>0</v>
      </c>
      <c r="AC9" s="4">
        <f t="shared" si="1"/>
        <v>0</v>
      </c>
      <c r="AD9" s="4">
        <f t="shared" si="1"/>
        <v>0</v>
      </c>
      <c r="AE9" s="4">
        <f t="shared" si="1"/>
        <v>0</v>
      </c>
      <c r="AF9" s="4">
        <f t="shared" si="1"/>
        <v>0</v>
      </c>
      <c r="AG9" s="4">
        <f t="shared" si="1"/>
        <v>0</v>
      </c>
      <c r="AH9" s="4">
        <f t="shared" si="1"/>
        <v>0</v>
      </c>
      <c r="AI9" s="4">
        <f t="shared" si="1"/>
        <v>0</v>
      </c>
      <c r="AJ9" s="4">
        <f t="shared" si="1"/>
        <v>0</v>
      </c>
      <c r="AK9" s="4">
        <f t="shared" si="1"/>
        <v>0</v>
      </c>
      <c r="AL9" s="4">
        <f t="shared" si="1"/>
        <v>0</v>
      </c>
      <c r="AM9" s="4">
        <f t="shared" si="1"/>
        <v>0</v>
      </c>
      <c r="AN9" s="4">
        <f t="shared" si="1"/>
        <v>0</v>
      </c>
    </row>
    <row r="10" spans="1:40" x14ac:dyDescent="0.35">
      <c r="A10" t="s">
        <v>92</v>
      </c>
      <c r="B10" s="12">
        <v>18000000</v>
      </c>
      <c r="C10" s="23">
        <v>0.96178906867958203</v>
      </c>
      <c r="D10" s="12">
        <f t="shared" si="2"/>
        <v>17312203.236232478</v>
      </c>
      <c r="E10">
        <v>6</v>
      </c>
      <c r="H10" s="4">
        <f t="shared" si="0"/>
        <v>0</v>
      </c>
      <c r="I10" s="4">
        <f t="shared" ref="I10:W10" si="3">IF($E10=I$6,$D10,0)*(1+$B$3)^I$6</f>
        <v>0</v>
      </c>
      <c r="J10" s="4">
        <f t="shared" si="3"/>
        <v>0</v>
      </c>
      <c r="K10" s="4">
        <f t="shared" si="3"/>
        <v>0</v>
      </c>
      <c r="L10" s="4">
        <f t="shared" si="3"/>
        <v>0</v>
      </c>
      <c r="M10" s="4">
        <f t="shared" si="3"/>
        <v>21318155.508636769</v>
      </c>
      <c r="N10" s="4">
        <f t="shared" si="3"/>
        <v>0</v>
      </c>
      <c r="O10" s="4">
        <f t="shared" si="3"/>
        <v>0</v>
      </c>
      <c r="P10" s="4">
        <f t="shared" si="3"/>
        <v>0</v>
      </c>
      <c r="Q10" s="4">
        <f t="shared" si="3"/>
        <v>0</v>
      </c>
      <c r="R10" s="4">
        <f t="shared" si="3"/>
        <v>0</v>
      </c>
      <c r="S10" s="4">
        <f t="shared" si="3"/>
        <v>0</v>
      </c>
      <c r="T10" s="4">
        <f t="shared" si="3"/>
        <v>0</v>
      </c>
      <c r="U10" s="4">
        <f t="shared" si="3"/>
        <v>0</v>
      </c>
      <c r="V10" s="4">
        <f t="shared" si="3"/>
        <v>0</v>
      </c>
      <c r="W10" s="4">
        <f t="shared" si="3"/>
        <v>0</v>
      </c>
      <c r="X10" s="4">
        <f t="shared" si="1"/>
        <v>0</v>
      </c>
      <c r="Y10" s="4">
        <f t="shared" si="1"/>
        <v>0</v>
      </c>
      <c r="Z10" s="4">
        <f t="shared" si="1"/>
        <v>0</v>
      </c>
      <c r="AA10" s="4">
        <f t="shared" si="1"/>
        <v>0</v>
      </c>
      <c r="AB10" s="4">
        <f t="shared" si="1"/>
        <v>0</v>
      </c>
      <c r="AC10" s="4">
        <f t="shared" si="1"/>
        <v>0</v>
      </c>
      <c r="AD10" s="4">
        <f t="shared" si="1"/>
        <v>0</v>
      </c>
      <c r="AE10" s="4">
        <f t="shared" si="1"/>
        <v>0</v>
      </c>
      <c r="AF10" s="4">
        <f t="shared" si="1"/>
        <v>0</v>
      </c>
      <c r="AG10" s="4">
        <f t="shared" si="1"/>
        <v>0</v>
      </c>
      <c r="AH10" s="4">
        <f t="shared" si="1"/>
        <v>0</v>
      </c>
      <c r="AI10" s="4">
        <f t="shared" si="1"/>
        <v>0</v>
      </c>
      <c r="AJ10" s="4">
        <f t="shared" si="1"/>
        <v>0</v>
      </c>
      <c r="AK10" s="4">
        <f t="shared" si="1"/>
        <v>0</v>
      </c>
      <c r="AL10" s="4">
        <f t="shared" si="1"/>
        <v>0</v>
      </c>
      <c r="AM10" s="4">
        <f t="shared" si="1"/>
        <v>0</v>
      </c>
      <c r="AN10" s="4">
        <f t="shared" si="1"/>
        <v>0</v>
      </c>
    </row>
    <row r="11" spans="1:40" x14ac:dyDescent="0.35">
      <c r="A11" t="s">
        <v>93</v>
      </c>
      <c r="B11" s="12">
        <v>18000000</v>
      </c>
      <c r="C11" s="23">
        <v>0.98009181744307283</v>
      </c>
      <c r="D11" s="12">
        <f t="shared" si="2"/>
        <v>17641652.71397531</v>
      </c>
      <c r="E11">
        <v>10</v>
      </c>
      <c r="H11" s="4">
        <f t="shared" si="0"/>
        <v>0</v>
      </c>
      <c r="I11" s="4">
        <f t="shared" si="1"/>
        <v>0</v>
      </c>
      <c r="J11" s="4">
        <f t="shared" si="1"/>
        <v>0</v>
      </c>
      <c r="K11" s="4">
        <f t="shared" si="1"/>
        <v>0</v>
      </c>
      <c r="L11" s="4">
        <f t="shared" si="1"/>
        <v>0</v>
      </c>
      <c r="M11" s="4">
        <f t="shared" si="1"/>
        <v>0</v>
      </c>
      <c r="N11" s="4">
        <f t="shared" si="1"/>
        <v>0</v>
      </c>
      <c r="O11" s="4">
        <f t="shared" si="1"/>
        <v>0</v>
      </c>
      <c r="P11" s="4">
        <f t="shared" si="1"/>
        <v>0</v>
      </c>
      <c r="Q11" s="4">
        <f>IF($E11=Q$6,$D11,0)*(1+$B$3)^Q$6</f>
        <v>24957518.896058999</v>
      </c>
      <c r="R11" s="4">
        <f t="shared" si="1"/>
        <v>0</v>
      </c>
      <c r="S11" s="4">
        <f t="shared" si="1"/>
        <v>0</v>
      </c>
      <c r="T11" s="4">
        <f t="shared" si="1"/>
        <v>0</v>
      </c>
      <c r="U11" s="4">
        <f t="shared" si="1"/>
        <v>0</v>
      </c>
      <c r="V11" s="4">
        <f t="shared" si="1"/>
        <v>0</v>
      </c>
      <c r="W11" s="4">
        <f t="shared" si="1"/>
        <v>0</v>
      </c>
      <c r="X11" s="4">
        <f t="shared" si="1"/>
        <v>0</v>
      </c>
      <c r="Y11" s="4">
        <f t="shared" si="1"/>
        <v>0</v>
      </c>
      <c r="Z11" s="4">
        <f t="shared" si="1"/>
        <v>0</v>
      </c>
      <c r="AA11" s="4">
        <f t="shared" si="1"/>
        <v>0</v>
      </c>
      <c r="AB11" s="4">
        <f t="shared" si="1"/>
        <v>0</v>
      </c>
      <c r="AC11" s="4">
        <f t="shared" si="1"/>
        <v>0</v>
      </c>
      <c r="AD11" s="4">
        <f t="shared" si="1"/>
        <v>0</v>
      </c>
      <c r="AE11" s="4">
        <f t="shared" si="1"/>
        <v>0</v>
      </c>
      <c r="AF11" s="4">
        <f t="shared" si="1"/>
        <v>0</v>
      </c>
      <c r="AG11" s="4">
        <f t="shared" si="1"/>
        <v>0</v>
      </c>
      <c r="AH11" s="4">
        <f t="shared" si="1"/>
        <v>0</v>
      </c>
      <c r="AI11" s="4">
        <f t="shared" si="1"/>
        <v>0</v>
      </c>
      <c r="AJ11" s="4">
        <f t="shared" si="1"/>
        <v>0</v>
      </c>
      <c r="AK11" s="4">
        <f t="shared" si="1"/>
        <v>0</v>
      </c>
      <c r="AL11" s="4">
        <f t="shared" si="1"/>
        <v>0</v>
      </c>
      <c r="AM11" s="4">
        <f t="shared" si="1"/>
        <v>0</v>
      </c>
      <c r="AN11" s="4">
        <f t="shared" si="1"/>
        <v>0</v>
      </c>
    </row>
    <row r="12" spans="1:40" x14ac:dyDescent="0.35">
      <c r="A12" t="s">
        <v>94</v>
      </c>
      <c r="B12" s="12">
        <v>18000000</v>
      </c>
      <c r="C12" s="23">
        <v>0.97295557579170988</v>
      </c>
      <c r="D12" s="12">
        <f t="shared" si="2"/>
        <v>17513200.364250779</v>
      </c>
      <c r="E12">
        <v>10</v>
      </c>
      <c r="H12" s="4">
        <f t="shared" si="0"/>
        <v>0</v>
      </c>
      <c r="I12" s="4">
        <f t="shared" si="1"/>
        <v>0</v>
      </c>
      <c r="J12" s="4">
        <f t="shared" si="1"/>
        <v>0</v>
      </c>
      <c r="K12" s="4">
        <f t="shared" si="1"/>
        <v>0</v>
      </c>
      <c r="L12" s="4">
        <f t="shared" si="1"/>
        <v>0</v>
      </c>
      <c r="M12" s="4">
        <f t="shared" si="1"/>
        <v>0</v>
      </c>
      <c r="N12" s="4">
        <f t="shared" si="1"/>
        <v>0</v>
      </c>
      <c r="O12" s="4">
        <f t="shared" si="1"/>
        <v>0</v>
      </c>
      <c r="P12" s="4">
        <f t="shared" si="1"/>
        <v>0</v>
      </c>
      <c r="Q12" s="4">
        <f t="shared" si="1"/>
        <v>24775798.283060335</v>
      </c>
      <c r="R12" s="4">
        <f t="shared" si="1"/>
        <v>0</v>
      </c>
      <c r="S12" s="4">
        <f t="shared" si="1"/>
        <v>0</v>
      </c>
      <c r="T12" s="4">
        <f t="shared" si="1"/>
        <v>0</v>
      </c>
      <c r="U12" s="4">
        <f t="shared" si="1"/>
        <v>0</v>
      </c>
      <c r="V12" s="4">
        <f t="shared" si="1"/>
        <v>0</v>
      </c>
      <c r="W12" s="4">
        <f t="shared" si="1"/>
        <v>0</v>
      </c>
      <c r="X12" s="4">
        <f t="shared" si="1"/>
        <v>0</v>
      </c>
      <c r="Y12" s="4">
        <f t="shared" si="1"/>
        <v>0</v>
      </c>
      <c r="Z12" s="4">
        <f t="shared" si="1"/>
        <v>0</v>
      </c>
      <c r="AA12" s="4">
        <f t="shared" si="1"/>
        <v>0</v>
      </c>
      <c r="AB12" s="4">
        <f t="shared" si="1"/>
        <v>0</v>
      </c>
      <c r="AC12" s="4">
        <f t="shared" si="1"/>
        <v>0</v>
      </c>
      <c r="AD12" s="4">
        <f t="shared" si="1"/>
        <v>0</v>
      </c>
      <c r="AE12" s="4">
        <f t="shared" si="1"/>
        <v>0</v>
      </c>
      <c r="AF12" s="4">
        <f t="shared" si="1"/>
        <v>0</v>
      </c>
      <c r="AG12" s="4">
        <f t="shared" si="1"/>
        <v>0</v>
      </c>
      <c r="AH12" s="4">
        <f t="shared" si="1"/>
        <v>0</v>
      </c>
      <c r="AI12" s="4">
        <f t="shared" si="1"/>
        <v>0</v>
      </c>
      <c r="AJ12" s="4">
        <f t="shared" si="1"/>
        <v>0</v>
      </c>
      <c r="AK12" s="4">
        <f t="shared" si="1"/>
        <v>0</v>
      </c>
      <c r="AL12" s="4">
        <f t="shared" si="1"/>
        <v>0</v>
      </c>
      <c r="AM12" s="4">
        <f t="shared" si="1"/>
        <v>0</v>
      </c>
      <c r="AN12" s="4">
        <f t="shared" si="1"/>
        <v>0</v>
      </c>
    </row>
    <row r="13" spans="1:40" x14ac:dyDescent="0.35">
      <c r="A13" t="s">
        <v>95</v>
      </c>
      <c r="B13" s="12">
        <v>18000000</v>
      </c>
      <c r="C13" s="23">
        <v>0.82351103953530003</v>
      </c>
      <c r="D13" s="12">
        <f t="shared" si="2"/>
        <v>14823198.7116354</v>
      </c>
      <c r="E13">
        <v>15</v>
      </c>
      <c r="H13" s="4">
        <f t="shared" si="0"/>
        <v>0</v>
      </c>
      <c r="I13" s="4">
        <f t="shared" si="1"/>
        <v>0</v>
      </c>
      <c r="J13" s="4">
        <f t="shared" si="1"/>
        <v>0</v>
      </c>
      <c r="K13" s="4">
        <f t="shared" si="1"/>
        <v>0</v>
      </c>
      <c r="L13" s="4">
        <f t="shared" si="1"/>
        <v>0</v>
      </c>
      <c r="M13" s="4">
        <f t="shared" si="1"/>
        <v>0</v>
      </c>
      <c r="N13" s="4">
        <f t="shared" si="1"/>
        <v>0</v>
      </c>
      <c r="O13" s="4">
        <f t="shared" si="1"/>
        <v>0</v>
      </c>
      <c r="P13" s="4">
        <f t="shared" si="1"/>
        <v>0</v>
      </c>
      <c r="Q13" s="4">
        <f t="shared" si="1"/>
        <v>0</v>
      </c>
      <c r="R13" s="4">
        <f t="shared" si="1"/>
        <v>0</v>
      </c>
      <c r="S13" s="4">
        <f t="shared" si="1"/>
        <v>0</v>
      </c>
      <c r="T13" s="4">
        <f t="shared" si="1"/>
        <v>0</v>
      </c>
      <c r="U13" s="4">
        <f t="shared" si="1"/>
        <v>0</v>
      </c>
      <c r="V13" s="4">
        <f t="shared" si="1"/>
        <v>24942222.02023188</v>
      </c>
      <c r="W13" s="4">
        <f t="shared" si="1"/>
        <v>0</v>
      </c>
      <c r="X13" s="4">
        <f t="shared" si="1"/>
        <v>0</v>
      </c>
      <c r="Y13" s="4">
        <f t="shared" si="1"/>
        <v>0</v>
      </c>
      <c r="Z13" s="4">
        <f t="shared" si="1"/>
        <v>0</v>
      </c>
      <c r="AA13" s="4">
        <f t="shared" si="1"/>
        <v>0</v>
      </c>
      <c r="AB13" s="4">
        <f t="shared" si="1"/>
        <v>0</v>
      </c>
      <c r="AC13" s="4">
        <f t="shared" si="1"/>
        <v>0</v>
      </c>
      <c r="AD13" s="4">
        <f t="shared" si="1"/>
        <v>0</v>
      </c>
      <c r="AE13" s="4">
        <f t="shared" si="1"/>
        <v>0</v>
      </c>
      <c r="AF13" s="4">
        <f t="shared" si="1"/>
        <v>0</v>
      </c>
      <c r="AG13" s="4">
        <f t="shared" si="1"/>
        <v>0</v>
      </c>
      <c r="AH13" s="4">
        <f t="shared" si="1"/>
        <v>0</v>
      </c>
      <c r="AI13" s="4">
        <f t="shared" si="1"/>
        <v>0</v>
      </c>
      <c r="AJ13" s="4">
        <f t="shared" si="1"/>
        <v>0</v>
      </c>
      <c r="AK13" s="4">
        <f t="shared" si="1"/>
        <v>0</v>
      </c>
      <c r="AL13" s="4">
        <f t="shared" si="1"/>
        <v>0</v>
      </c>
      <c r="AM13" s="4">
        <f t="shared" si="1"/>
        <v>0</v>
      </c>
      <c r="AN13" s="4">
        <f t="shared" si="1"/>
        <v>0</v>
      </c>
    </row>
    <row r="14" spans="1:40" x14ac:dyDescent="0.35">
      <c r="A14" t="s">
        <v>96</v>
      </c>
      <c r="B14" s="12">
        <v>18000000</v>
      </c>
      <c r="C14" s="23">
        <v>0.96531318322648074</v>
      </c>
      <c r="D14" s="12">
        <f t="shared" si="2"/>
        <v>17375637.298076652</v>
      </c>
      <c r="E14">
        <v>15</v>
      </c>
      <c r="H14" s="4">
        <f t="shared" si="0"/>
        <v>0</v>
      </c>
      <c r="I14" s="4">
        <f t="shared" si="1"/>
        <v>0</v>
      </c>
      <c r="J14" s="4">
        <f t="shared" si="1"/>
        <v>0</v>
      </c>
      <c r="K14" s="4">
        <f t="shared" si="1"/>
        <v>0</v>
      </c>
      <c r="L14" s="4">
        <f t="shared" si="1"/>
        <v>0</v>
      </c>
      <c r="M14" s="4">
        <f t="shared" si="1"/>
        <v>0</v>
      </c>
      <c r="N14" s="4">
        <f t="shared" si="1"/>
        <v>0</v>
      </c>
      <c r="O14" s="4">
        <f t="shared" si="1"/>
        <v>0</v>
      </c>
      <c r="P14" s="4">
        <f t="shared" si="1"/>
        <v>0</v>
      </c>
      <c r="Q14" s="4">
        <f t="shared" si="1"/>
        <v>0</v>
      </c>
      <c r="R14" s="4">
        <f t="shared" si="1"/>
        <v>0</v>
      </c>
      <c r="S14" s="4">
        <f t="shared" si="1"/>
        <v>0</v>
      </c>
      <c r="T14" s="4">
        <f t="shared" si="1"/>
        <v>0</v>
      </c>
      <c r="U14" s="4">
        <f t="shared" si="1"/>
        <v>0</v>
      </c>
      <c r="V14" s="4">
        <f t="shared" si="1"/>
        <v>29237077.075102873</v>
      </c>
      <c r="W14" s="4">
        <f t="shared" si="1"/>
        <v>0</v>
      </c>
      <c r="X14" s="4">
        <f t="shared" si="1"/>
        <v>0</v>
      </c>
      <c r="Y14" s="4">
        <f t="shared" si="1"/>
        <v>0</v>
      </c>
      <c r="Z14" s="4">
        <f t="shared" si="1"/>
        <v>0</v>
      </c>
      <c r="AA14" s="4">
        <f t="shared" si="1"/>
        <v>0</v>
      </c>
      <c r="AB14" s="4">
        <f t="shared" si="1"/>
        <v>0</v>
      </c>
      <c r="AC14" s="4">
        <f t="shared" si="1"/>
        <v>0</v>
      </c>
      <c r="AD14" s="4">
        <f t="shared" si="1"/>
        <v>0</v>
      </c>
      <c r="AE14" s="4">
        <f t="shared" si="1"/>
        <v>0</v>
      </c>
      <c r="AF14" s="4">
        <f t="shared" si="1"/>
        <v>0</v>
      </c>
      <c r="AG14" s="4">
        <f t="shared" si="1"/>
        <v>0</v>
      </c>
      <c r="AH14" s="4">
        <f t="shared" si="1"/>
        <v>0</v>
      </c>
      <c r="AI14" s="4">
        <f t="shared" si="1"/>
        <v>0</v>
      </c>
      <c r="AJ14" s="4">
        <f t="shared" si="1"/>
        <v>0</v>
      </c>
      <c r="AK14" s="4">
        <f t="shared" si="1"/>
        <v>0</v>
      </c>
      <c r="AL14" s="4">
        <f t="shared" si="1"/>
        <v>0</v>
      </c>
      <c r="AM14" s="4">
        <f t="shared" si="1"/>
        <v>0</v>
      </c>
      <c r="AN14" s="4">
        <f t="shared" si="1"/>
        <v>0</v>
      </c>
    </row>
    <row r="15" spans="1:40" x14ac:dyDescent="0.35">
      <c r="A15" t="s">
        <v>97</v>
      </c>
      <c r="B15" s="12">
        <v>18000000</v>
      </c>
      <c r="C15" s="23">
        <v>0.86721009169276275</v>
      </c>
      <c r="D15" s="12">
        <f t="shared" si="2"/>
        <v>15609781.65046973</v>
      </c>
      <c r="E15">
        <v>18</v>
      </c>
      <c r="H15" s="4">
        <f t="shared" si="0"/>
        <v>0</v>
      </c>
      <c r="I15" s="4">
        <f t="shared" si="1"/>
        <v>0</v>
      </c>
      <c r="J15" s="4">
        <f t="shared" si="1"/>
        <v>0</v>
      </c>
      <c r="K15" s="4">
        <f t="shared" si="1"/>
        <v>0</v>
      </c>
      <c r="L15" s="4">
        <f t="shared" si="1"/>
        <v>0</v>
      </c>
      <c r="M15" s="4">
        <f t="shared" si="1"/>
        <v>0</v>
      </c>
      <c r="N15" s="4">
        <f t="shared" si="1"/>
        <v>0</v>
      </c>
      <c r="O15" s="4">
        <f t="shared" si="1"/>
        <v>0</v>
      </c>
      <c r="P15" s="4">
        <f t="shared" si="1"/>
        <v>0</v>
      </c>
      <c r="Q15" s="4">
        <f t="shared" si="1"/>
        <v>0</v>
      </c>
      <c r="R15" s="4">
        <f t="shared" si="1"/>
        <v>0</v>
      </c>
      <c r="S15" s="4">
        <f t="shared" si="1"/>
        <v>0</v>
      </c>
      <c r="T15" s="4">
        <f t="shared" si="1"/>
        <v>0</v>
      </c>
      <c r="U15" s="4">
        <f t="shared" si="1"/>
        <v>0</v>
      </c>
      <c r="V15" s="4">
        <f t="shared" si="1"/>
        <v>0</v>
      </c>
      <c r="W15" s="4">
        <f t="shared" ref="I15:AN17" si="4">IF($E15=W$6,$D15,0)*(1+$B$3)^W$6</f>
        <v>0</v>
      </c>
      <c r="X15" s="4">
        <f t="shared" si="4"/>
        <v>0</v>
      </c>
      <c r="Y15" s="4">
        <f t="shared" si="4"/>
        <v>29146652.31630474</v>
      </c>
      <c r="Z15" s="4">
        <f t="shared" si="4"/>
        <v>0</v>
      </c>
      <c r="AA15" s="4">
        <f t="shared" si="4"/>
        <v>0</v>
      </c>
      <c r="AB15" s="4">
        <f t="shared" si="4"/>
        <v>0</v>
      </c>
      <c r="AC15" s="4">
        <f t="shared" si="4"/>
        <v>0</v>
      </c>
      <c r="AD15" s="4">
        <f t="shared" si="4"/>
        <v>0</v>
      </c>
      <c r="AE15" s="4">
        <f t="shared" si="4"/>
        <v>0</v>
      </c>
      <c r="AF15" s="4">
        <f t="shared" si="4"/>
        <v>0</v>
      </c>
      <c r="AG15" s="4">
        <f t="shared" si="4"/>
        <v>0</v>
      </c>
      <c r="AH15" s="4">
        <f t="shared" si="4"/>
        <v>0</v>
      </c>
      <c r="AI15" s="4">
        <f t="shared" si="4"/>
        <v>0</v>
      </c>
      <c r="AJ15" s="4">
        <f t="shared" si="4"/>
        <v>0</v>
      </c>
      <c r="AK15" s="4">
        <f t="shared" si="4"/>
        <v>0</v>
      </c>
      <c r="AL15" s="4">
        <f t="shared" si="4"/>
        <v>0</v>
      </c>
      <c r="AM15" s="4">
        <f t="shared" si="4"/>
        <v>0</v>
      </c>
      <c r="AN15" s="4">
        <f t="shared" si="4"/>
        <v>0</v>
      </c>
    </row>
    <row r="16" spans="1:40" x14ac:dyDescent="0.35">
      <c r="A16" t="s">
        <v>98</v>
      </c>
      <c r="B16" s="12">
        <v>18000000</v>
      </c>
      <c r="C16" s="23">
        <v>0.99369765593636417</v>
      </c>
      <c r="D16" s="12">
        <f t="shared" si="2"/>
        <v>17886557.806854554</v>
      </c>
      <c r="E16">
        <v>20</v>
      </c>
      <c r="H16" s="4">
        <f t="shared" si="0"/>
        <v>0</v>
      </c>
      <c r="I16" s="4">
        <f t="shared" si="4"/>
        <v>0</v>
      </c>
      <c r="J16" s="4">
        <f t="shared" si="4"/>
        <v>0</v>
      </c>
      <c r="K16" s="4">
        <f t="shared" si="4"/>
        <v>0</v>
      </c>
      <c r="L16" s="4">
        <f t="shared" si="4"/>
        <v>0</v>
      </c>
      <c r="M16" s="4">
        <f t="shared" si="4"/>
        <v>0</v>
      </c>
      <c r="N16" s="4">
        <f t="shared" si="4"/>
        <v>0</v>
      </c>
      <c r="O16" s="4">
        <f t="shared" si="4"/>
        <v>0</v>
      </c>
      <c r="P16" s="4">
        <f t="shared" si="4"/>
        <v>0</v>
      </c>
      <c r="Q16" s="4">
        <f t="shared" si="4"/>
        <v>0</v>
      </c>
      <c r="R16" s="4">
        <f t="shared" si="4"/>
        <v>0</v>
      </c>
      <c r="S16" s="4">
        <f t="shared" si="4"/>
        <v>0</v>
      </c>
      <c r="T16" s="4">
        <f t="shared" si="4"/>
        <v>0</v>
      </c>
      <c r="U16" s="4">
        <f t="shared" si="4"/>
        <v>0</v>
      </c>
      <c r="V16" s="4">
        <f t="shared" si="4"/>
        <v>0</v>
      </c>
      <c r="W16" s="4">
        <f t="shared" si="4"/>
        <v>0</v>
      </c>
      <c r="X16" s="4">
        <f t="shared" si="4"/>
        <v>0</v>
      </c>
      <c r="Y16" s="4">
        <f t="shared" si="4"/>
        <v>0</v>
      </c>
      <c r="Z16" s="4">
        <f t="shared" si="4"/>
        <v>0</v>
      </c>
      <c r="AA16" s="4">
        <f t="shared" si="4"/>
        <v>35797364.23667369</v>
      </c>
      <c r="AB16" s="4">
        <f t="shared" si="4"/>
        <v>0</v>
      </c>
      <c r="AC16" s="4">
        <f t="shared" si="4"/>
        <v>0</v>
      </c>
      <c r="AD16" s="4">
        <f t="shared" si="4"/>
        <v>0</v>
      </c>
      <c r="AE16" s="4">
        <f t="shared" si="4"/>
        <v>0</v>
      </c>
      <c r="AF16" s="4">
        <f t="shared" si="4"/>
        <v>0</v>
      </c>
      <c r="AG16" s="4">
        <f t="shared" si="4"/>
        <v>0</v>
      </c>
      <c r="AH16" s="4">
        <f t="shared" si="4"/>
        <v>0</v>
      </c>
      <c r="AI16" s="4">
        <f t="shared" si="4"/>
        <v>0</v>
      </c>
      <c r="AJ16" s="4">
        <f t="shared" si="4"/>
        <v>0</v>
      </c>
      <c r="AK16" s="4">
        <f t="shared" si="4"/>
        <v>0</v>
      </c>
      <c r="AL16" s="4">
        <f t="shared" si="4"/>
        <v>0</v>
      </c>
      <c r="AM16" s="4">
        <f t="shared" si="4"/>
        <v>0</v>
      </c>
      <c r="AN16" s="4">
        <f t="shared" si="4"/>
        <v>0</v>
      </c>
    </row>
    <row r="17" spans="1:40" x14ac:dyDescent="0.35">
      <c r="A17" t="s">
        <v>99</v>
      </c>
      <c r="B17" s="12">
        <v>18000000</v>
      </c>
      <c r="C17" s="23">
        <v>0.98395420191427907</v>
      </c>
      <c r="D17" s="12">
        <f t="shared" si="2"/>
        <v>17711175.634457022</v>
      </c>
      <c r="E17">
        <v>20</v>
      </c>
      <c r="H17" s="4">
        <f t="shared" si="0"/>
        <v>0</v>
      </c>
      <c r="I17" s="4">
        <f t="shared" si="4"/>
        <v>0</v>
      </c>
      <c r="J17" s="4">
        <f t="shared" si="4"/>
        <v>0</v>
      </c>
      <c r="K17" s="4">
        <f t="shared" si="4"/>
        <v>0</v>
      </c>
      <c r="L17" s="4">
        <f t="shared" si="4"/>
        <v>0</v>
      </c>
      <c r="M17" s="4">
        <f t="shared" si="4"/>
        <v>0</v>
      </c>
      <c r="N17" s="4">
        <f t="shared" si="4"/>
        <v>0</v>
      </c>
      <c r="O17" s="4">
        <f t="shared" si="4"/>
        <v>0</v>
      </c>
      <c r="P17" s="4">
        <f t="shared" si="4"/>
        <v>0</v>
      </c>
      <c r="Q17" s="4">
        <f t="shared" si="4"/>
        <v>0</v>
      </c>
      <c r="R17" s="4">
        <f t="shared" si="4"/>
        <v>0</v>
      </c>
      <c r="S17" s="4">
        <f t="shared" si="4"/>
        <v>0</v>
      </c>
      <c r="T17" s="4">
        <f t="shared" si="4"/>
        <v>0</v>
      </c>
      <c r="U17" s="4">
        <f t="shared" si="4"/>
        <v>0</v>
      </c>
      <c r="V17" s="4">
        <f t="shared" si="4"/>
        <v>0</v>
      </c>
      <c r="W17" s="4">
        <f t="shared" si="4"/>
        <v>0</v>
      </c>
      <c r="X17" s="4">
        <f t="shared" si="4"/>
        <v>0</v>
      </c>
      <c r="Y17" s="4">
        <f t="shared" si="4"/>
        <v>0</v>
      </c>
      <c r="Z17" s="4">
        <f t="shared" si="4"/>
        <v>0</v>
      </c>
      <c r="AA17" s="4">
        <f t="shared" si="4"/>
        <v>35446362.128066324</v>
      </c>
      <c r="AB17" s="4">
        <f t="shared" si="4"/>
        <v>0</v>
      </c>
      <c r="AC17" s="4">
        <f t="shared" si="4"/>
        <v>0</v>
      </c>
      <c r="AD17" s="4">
        <f t="shared" si="4"/>
        <v>0</v>
      </c>
      <c r="AE17" s="4">
        <f t="shared" si="4"/>
        <v>0</v>
      </c>
      <c r="AF17" s="4">
        <f t="shared" si="4"/>
        <v>0</v>
      </c>
      <c r="AG17" s="4">
        <f t="shared" si="4"/>
        <v>0</v>
      </c>
      <c r="AH17" s="4">
        <f t="shared" si="4"/>
        <v>0</v>
      </c>
      <c r="AI17" s="4">
        <f t="shared" si="4"/>
        <v>0</v>
      </c>
      <c r="AJ17" s="4">
        <f t="shared" si="4"/>
        <v>0</v>
      </c>
      <c r="AK17" s="4">
        <f t="shared" si="4"/>
        <v>0</v>
      </c>
      <c r="AL17" s="4">
        <f t="shared" si="4"/>
        <v>0</v>
      </c>
      <c r="AM17" s="4">
        <f t="shared" si="4"/>
        <v>0</v>
      </c>
      <c r="AN17" s="4">
        <f t="shared" si="4"/>
        <v>0</v>
      </c>
    </row>
    <row r="18" spans="1:40" x14ac:dyDescent="0.35">
      <c r="A18" t="s">
        <v>100</v>
      </c>
      <c r="B18" s="12"/>
      <c r="C18" s="24"/>
      <c r="D18" s="12"/>
      <c r="E18" s="4">
        <f>SUM(G18:AN18)</f>
        <v>258106001.25882548</v>
      </c>
      <c r="H18" s="4">
        <f t="shared" ref="H18:AN18" si="5">SUM(H8:H17)</f>
        <v>0</v>
      </c>
      <c r="I18" s="4">
        <f t="shared" si="5"/>
        <v>0</v>
      </c>
      <c r="J18" s="4">
        <f t="shared" si="5"/>
        <v>0</v>
      </c>
      <c r="K18" s="4">
        <f t="shared" si="5"/>
        <v>16296379.140321648</v>
      </c>
      <c r="L18" s="4">
        <f t="shared" si="5"/>
        <v>16188471.654368239</v>
      </c>
      <c r="M18" s="4">
        <f t="shared" si="5"/>
        <v>21318155.508636769</v>
      </c>
      <c r="N18" s="4">
        <f t="shared" si="5"/>
        <v>0</v>
      </c>
      <c r="O18" s="4">
        <f t="shared" si="5"/>
        <v>0</v>
      </c>
      <c r="P18" s="4">
        <f t="shared" si="5"/>
        <v>0</v>
      </c>
      <c r="Q18" s="4">
        <f t="shared" si="5"/>
        <v>49733317.179119334</v>
      </c>
      <c r="R18" s="4">
        <f t="shared" si="5"/>
        <v>0</v>
      </c>
      <c r="S18" s="4">
        <f t="shared" si="5"/>
        <v>0</v>
      </c>
      <c r="T18" s="4">
        <f t="shared" si="5"/>
        <v>0</v>
      </c>
      <c r="U18" s="4">
        <f t="shared" si="5"/>
        <v>0</v>
      </c>
      <c r="V18" s="4">
        <f t="shared" si="5"/>
        <v>54179299.095334753</v>
      </c>
      <c r="W18" s="4">
        <f t="shared" si="5"/>
        <v>0</v>
      </c>
      <c r="X18" s="4">
        <f t="shared" si="5"/>
        <v>0</v>
      </c>
      <c r="Y18" s="4">
        <f t="shared" si="5"/>
        <v>29146652.31630474</v>
      </c>
      <c r="Z18" s="4">
        <f t="shared" si="5"/>
        <v>0</v>
      </c>
      <c r="AA18" s="4">
        <f t="shared" si="5"/>
        <v>71243726.364740014</v>
      </c>
      <c r="AB18" s="4">
        <f t="shared" si="5"/>
        <v>0</v>
      </c>
      <c r="AC18" s="4">
        <f t="shared" si="5"/>
        <v>0</v>
      </c>
      <c r="AD18" s="4">
        <f t="shared" si="5"/>
        <v>0</v>
      </c>
      <c r="AE18" s="4">
        <f t="shared" si="5"/>
        <v>0</v>
      </c>
      <c r="AF18" s="4">
        <f t="shared" si="5"/>
        <v>0</v>
      </c>
      <c r="AG18" s="4">
        <f t="shared" si="5"/>
        <v>0</v>
      </c>
      <c r="AH18" s="4">
        <f t="shared" si="5"/>
        <v>0</v>
      </c>
      <c r="AI18" s="4">
        <f t="shared" si="5"/>
        <v>0</v>
      </c>
      <c r="AJ18" s="4">
        <f t="shared" si="5"/>
        <v>0</v>
      </c>
      <c r="AK18" s="4">
        <f t="shared" si="5"/>
        <v>0</v>
      </c>
      <c r="AL18" s="4">
        <f t="shared" si="5"/>
        <v>0</v>
      </c>
      <c r="AM18" s="4">
        <f t="shared" si="5"/>
        <v>0</v>
      </c>
      <c r="AN18" s="3">
        <f t="shared" si="5"/>
        <v>0</v>
      </c>
    </row>
    <row r="19" spans="1:40" x14ac:dyDescent="0.35">
      <c r="A19" t="s">
        <v>101</v>
      </c>
      <c r="E19" s="4">
        <f>SUM(H19:AN19)</f>
        <v>149432782.00432175</v>
      </c>
      <c r="H19" s="4">
        <f t="shared" ref="H19:AN19" si="6">(SUM(H8:H17))/((1+$B$4)^H6)</f>
        <v>0</v>
      </c>
      <c r="I19" s="4">
        <f t="shared" si="6"/>
        <v>0</v>
      </c>
      <c r="J19" s="4">
        <f t="shared" si="6"/>
        <v>0</v>
      </c>
      <c r="K19" s="4">
        <f>(SUM(K8:K17))/((1+$B$4)^K6)</f>
        <v>13775914.867892148</v>
      </c>
      <c r="L19" s="4">
        <f t="shared" si="6"/>
        <v>13121772.74192884</v>
      </c>
      <c r="M19" s="4">
        <f t="shared" si="6"/>
        <v>16568897.877174189</v>
      </c>
      <c r="N19" s="4">
        <f t="shared" si="6"/>
        <v>0</v>
      </c>
      <c r="O19" s="4">
        <f t="shared" si="6"/>
        <v>0</v>
      </c>
      <c r="P19" s="4">
        <f t="shared" si="6"/>
        <v>0</v>
      </c>
      <c r="Q19" s="4">
        <f>(SUM(Q8:Q17))/((1+$B$4)^Q6)</f>
        <v>32675387.96317393</v>
      </c>
      <c r="R19" s="4">
        <f t="shared" si="6"/>
        <v>0</v>
      </c>
      <c r="S19" s="4">
        <f t="shared" si="6"/>
        <v>0</v>
      </c>
      <c r="T19" s="4">
        <f t="shared" si="6"/>
        <v>0</v>
      </c>
      <c r="U19" s="4">
        <f t="shared" si="6"/>
        <v>0</v>
      </c>
      <c r="V19" s="4">
        <f t="shared" si="6"/>
        <v>28853159.099362317</v>
      </c>
      <c r="W19" s="4">
        <f t="shared" si="6"/>
        <v>0</v>
      </c>
      <c r="X19" s="4">
        <f t="shared" si="6"/>
        <v>0</v>
      </c>
      <c r="Y19" s="4">
        <f t="shared" si="6"/>
        <v>13684239.487478269</v>
      </c>
      <c r="Z19" s="4">
        <f t="shared" si="6"/>
        <v>0</v>
      </c>
      <c r="AA19" s="4">
        <f t="shared" si="6"/>
        <v>30753409.967312083</v>
      </c>
      <c r="AB19" s="4">
        <f t="shared" si="6"/>
        <v>0</v>
      </c>
      <c r="AC19" s="4">
        <f t="shared" si="6"/>
        <v>0</v>
      </c>
      <c r="AD19" s="4">
        <f t="shared" si="6"/>
        <v>0</v>
      </c>
      <c r="AE19" s="4">
        <f t="shared" si="6"/>
        <v>0</v>
      </c>
      <c r="AF19" s="4">
        <f t="shared" si="6"/>
        <v>0</v>
      </c>
      <c r="AG19" s="4">
        <f t="shared" si="6"/>
        <v>0</v>
      </c>
      <c r="AH19" s="4">
        <f t="shared" si="6"/>
        <v>0</v>
      </c>
      <c r="AI19" s="4">
        <f t="shared" si="6"/>
        <v>0</v>
      </c>
      <c r="AJ19" s="4">
        <f t="shared" si="6"/>
        <v>0</v>
      </c>
      <c r="AK19" s="4">
        <f t="shared" si="6"/>
        <v>0</v>
      </c>
      <c r="AL19" s="4">
        <f t="shared" si="6"/>
        <v>0</v>
      </c>
      <c r="AM19" s="4">
        <f t="shared" si="6"/>
        <v>0</v>
      </c>
      <c r="AN19" s="3">
        <f t="shared" si="6"/>
        <v>0</v>
      </c>
    </row>
    <row r="20" spans="1:40" x14ac:dyDescent="0.35">
      <c r="A20" s="11"/>
      <c r="E20" s="4">
        <f>SUM(H20:AN20)</f>
        <v>10203</v>
      </c>
      <c r="G20" s="9"/>
      <c r="H20" s="4">
        <v>361</v>
      </c>
      <c r="I20" s="4">
        <v>290</v>
      </c>
      <c r="J20" s="4">
        <v>309</v>
      </c>
      <c r="K20" s="4">
        <v>327</v>
      </c>
      <c r="L20" s="4">
        <v>321</v>
      </c>
      <c r="M20" s="4">
        <v>321</v>
      </c>
      <c r="N20" s="4">
        <v>321.5</v>
      </c>
      <c r="O20" s="4">
        <v>321.5</v>
      </c>
      <c r="P20" s="4">
        <v>321.5</v>
      </c>
      <c r="Q20" s="4">
        <v>321.5</v>
      </c>
      <c r="R20" s="4">
        <v>321.5</v>
      </c>
      <c r="S20" s="4">
        <v>321.5</v>
      </c>
      <c r="T20" s="4">
        <v>321.5</v>
      </c>
      <c r="U20" s="4">
        <v>321.5</v>
      </c>
      <c r="V20" s="4">
        <v>321.5</v>
      </c>
      <c r="W20" s="4">
        <v>321.5</v>
      </c>
      <c r="X20" s="4">
        <v>321.5</v>
      </c>
      <c r="Y20" s="4">
        <v>321.5</v>
      </c>
      <c r="Z20" s="4">
        <v>321.5</v>
      </c>
      <c r="AA20" s="4">
        <v>321.5</v>
      </c>
      <c r="AB20" s="4">
        <v>321.5</v>
      </c>
      <c r="AC20" s="4">
        <v>321.5</v>
      </c>
      <c r="AD20" s="4">
        <v>321.5</v>
      </c>
      <c r="AE20" s="4">
        <v>321.5</v>
      </c>
      <c r="AF20" s="4">
        <v>321.5</v>
      </c>
      <c r="AG20" s="4">
        <v>321.5</v>
      </c>
      <c r="AH20" s="4">
        <v>321.5</v>
      </c>
      <c r="AI20" s="4">
        <v>321.5</v>
      </c>
      <c r="AJ20" s="4">
        <v>321.5</v>
      </c>
      <c r="AK20" s="4">
        <v>321.5</v>
      </c>
      <c r="AL20" s="4">
        <v>321.5</v>
      </c>
      <c r="AM20" s="4">
        <f>321.5-85</f>
        <v>236.5</v>
      </c>
      <c r="AN20" s="4"/>
    </row>
    <row r="21" spans="1:40" s="4" customFormat="1" x14ac:dyDescent="0.35">
      <c r="E21" s="16">
        <f>E19/E20</f>
        <v>14645.965108725057</v>
      </c>
      <c r="F21" s="5" t="s">
        <v>102</v>
      </c>
      <c r="G21" s="16">
        <f>SUM(H21:AN21)</f>
        <v>306561959.03859919</v>
      </c>
      <c r="H21" s="16">
        <f>(($E$25*H20)*(1+$B$4)^0)</f>
        <v>5287193.4042497473</v>
      </c>
      <c r="I21" s="16">
        <f>(($E$25*I20)*(1+$B$4)^H6)</f>
        <v>4429540.3334479164</v>
      </c>
      <c r="J21" s="16">
        <f t="shared" ref="J21:AN21" si="7">(($E$25*J20)*(1+$B$4)^I6)</f>
        <v>4922228.9401711207</v>
      </c>
      <c r="K21" s="16">
        <f t="shared" si="7"/>
        <v>5432425.1381144309</v>
      </c>
      <c r="L21" s="16">
        <f t="shared" si="7"/>
        <v>5561522.4852268863</v>
      </c>
      <c r="M21" s="16">
        <f t="shared" si="7"/>
        <v>5800111.7998431195</v>
      </c>
      <c r="N21" s="16">
        <f t="shared" si="7"/>
        <v>6058358.6156764142</v>
      </c>
      <c r="O21" s="16">
        <f t="shared" si="7"/>
        <v>6318262.2002889328</v>
      </c>
      <c r="P21" s="16">
        <f t="shared" si="7"/>
        <v>6589315.6486813268</v>
      </c>
      <c r="Q21" s="16">
        <f t="shared" si="7"/>
        <v>6871997.2900097556</v>
      </c>
      <c r="R21" s="16">
        <f t="shared" si="7"/>
        <v>7166805.9737511743</v>
      </c>
      <c r="S21" s="16">
        <f t="shared" si="7"/>
        <v>7474261.9500250993</v>
      </c>
      <c r="T21" s="16">
        <f t="shared" si="7"/>
        <v>7794907.7876811754</v>
      </c>
      <c r="U21" s="16">
        <f t="shared" si="7"/>
        <v>8129309.3317726972</v>
      </c>
      <c r="V21" s="16">
        <f t="shared" si="7"/>
        <v>8478056.7021057457</v>
      </c>
      <c r="W21" s="16">
        <f t="shared" si="7"/>
        <v>8841765.3346260823</v>
      </c>
      <c r="X21" s="16">
        <f t="shared" si="7"/>
        <v>9221077.0674815401</v>
      </c>
      <c r="Y21" s="16">
        <f t="shared" si="7"/>
        <v>9616661.2736764979</v>
      </c>
      <c r="Z21" s="16">
        <f t="shared" si="7"/>
        <v>10029216.042317219</v>
      </c>
      <c r="AA21" s="16">
        <f t="shared" si="7"/>
        <v>10459469.410532627</v>
      </c>
      <c r="AB21" s="16">
        <f t="shared" si="7"/>
        <v>10908180.648244476</v>
      </c>
      <c r="AC21" s="16">
        <f t="shared" si="7"/>
        <v>11376141.598054163</v>
      </c>
      <c r="AD21" s="16">
        <f t="shared" si="7"/>
        <v>11864178.072610687</v>
      </c>
      <c r="AE21" s="16">
        <f t="shared" si="7"/>
        <v>12373151.311925687</v>
      </c>
      <c r="AF21" s="16">
        <f t="shared" si="7"/>
        <v>12903959.503207294</v>
      </c>
      <c r="AG21" s="16">
        <f t="shared" si="7"/>
        <v>13457539.365894886</v>
      </c>
      <c r="AH21" s="16">
        <f t="shared" si="7"/>
        <v>14034867.804691778</v>
      </c>
      <c r="AI21" s="16">
        <f t="shared" si="7"/>
        <v>14636963.633513056</v>
      </c>
      <c r="AJ21" s="16">
        <f t="shared" si="7"/>
        <v>15264889.373390762</v>
      </c>
      <c r="AK21" s="16">
        <f t="shared" si="7"/>
        <v>15919753.127509225</v>
      </c>
      <c r="AL21" s="16">
        <f t="shared" si="7"/>
        <v>16602710.536679372</v>
      </c>
      <c r="AM21" s="16">
        <f t="shared" si="7"/>
        <v>12737137.333198259</v>
      </c>
      <c r="AN21" s="16">
        <f t="shared" si="7"/>
        <v>0</v>
      </c>
    </row>
    <row r="22" spans="1:40" s="4" customFormat="1" x14ac:dyDescent="0.35">
      <c r="F22" s="5" t="s">
        <v>103</v>
      </c>
      <c r="G22" s="5">
        <f>SUM(H22:AN22)</f>
        <v>-48455957.779773623</v>
      </c>
      <c r="H22" s="4">
        <f>(F25+H21)*$B$4</f>
        <v>226820.59704231416</v>
      </c>
      <c r="I22" s="4">
        <f>(H25+I21)*$B$4</f>
        <v>426578.48096034501</v>
      </c>
      <c r="J22" s="4">
        <f t="shared" ref="J22:AN22" si="8">(I25+J21)*$B$4</f>
        <v>656042.31932688493</v>
      </c>
      <c r="K22" s="4">
        <f t="shared" si="8"/>
        <v>917237.57325111737</v>
      </c>
      <c r="L22" s="4">
        <f t="shared" si="8"/>
        <v>496061.71464002505</v>
      </c>
      <c r="M22" s="4">
        <f t="shared" si="8"/>
        <v>71682.124438954532</v>
      </c>
      <c r="N22" s="4">
        <f t="shared" si="8"/>
        <v>-579887.99913061352</v>
      </c>
      <c r="O22" s="4">
        <f t="shared" si="8"/>
        <v>-333711.74590092158</v>
      </c>
      <c r="P22" s="4">
        <f t="shared" si="8"/>
        <v>-65346.338471642208</v>
      </c>
      <c r="Q22" s="4">
        <f t="shared" si="8"/>
        <v>226658.98734934285</v>
      </c>
      <c r="R22" s="4">
        <f t="shared" si="8"/>
        <v>-1589720.6728036646</v>
      </c>
      <c r="S22" s="4">
        <f t="shared" si="8"/>
        <v>-1337273.8520108648</v>
      </c>
      <c r="T22" s="4">
        <f t="shared" si="8"/>
        <v>-1060241.3561706084</v>
      </c>
      <c r="U22" s="4">
        <f t="shared" si="8"/>
        <v>-756978.34001727891</v>
      </c>
      <c r="V22" s="4">
        <f t="shared" si="8"/>
        <v>-425744.07828368363</v>
      </c>
      <c r="W22" s="4">
        <f t="shared" si="8"/>
        <v>-2388988.6975764553</v>
      </c>
      <c r="X22" s="4">
        <f t="shared" si="8"/>
        <v>-2095892.1065075274</v>
      </c>
      <c r="Y22" s="4">
        <f t="shared" si="8"/>
        <v>-1773251.1092359782</v>
      </c>
      <c r="Z22" s="4">
        <f t="shared" si="8"/>
        <v>-2669461.5979762664</v>
      </c>
      <c r="AA22" s="4">
        <f t="shared" si="8"/>
        <v>-2335270.2628175984</v>
      </c>
      <c r="AB22" s="4">
        <f t="shared" si="8"/>
        <v>-5023848.2683301317</v>
      </c>
      <c r="AC22" s="4">
        <f t="shared" si="8"/>
        <v>-4751334.88448497</v>
      </c>
      <c r="AD22" s="4">
        <f t="shared" si="8"/>
        <v>-4446193.9117143769</v>
      </c>
      <c r="AE22" s="4">
        <f t="shared" si="8"/>
        <v>-4106127.4392453115</v>
      </c>
      <c r="AF22" s="4">
        <f t="shared" si="8"/>
        <v>-3728700.4437013427</v>
      </c>
      <c r="AG22" s="4">
        <f t="shared" si="8"/>
        <v>-3311333.2539392398</v>
      </c>
      <c r="AH22" s="4">
        <f t="shared" si="8"/>
        <v>-2851293.6217119559</v>
      </c>
      <c r="AI22" s="4">
        <f t="shared" si="8"/>
        <v>-2345688.3782056887</v>
      </c>
      <c r="AJ22" s="4">
        <f t="shared" si="8"/>
        <v>-1791454.6555122486</v>
      </c>
      <c r="AK22" s="4">
        <f t="shared" si="8"/>
        <v>-1185350.6510635784</v>
      </c>
      <c r="AL22" s="4">
        <f t="shared" si="8"/>
        <v>-523945.91197066102</v>
      </c>
      <c r="AM22" s="4">
        <f t="shared" si="8"/>
        <v>2.956576645374298E-9</v>
      </c>
      <c r="AN22" s="4">
        <f t="shared" si="8"/>
        <v>3.0834137834608555E-9</v>
      </c>
    </row>
    <row r="23" spans="1:40" s="4" customFormat="1" x14ac:dyDescent="0.35">
      <c r="F23" s="5"/>
      <c r="G23" s="5"/>
    </row>
    <row r="24" spans="1:40" s="4" customFormat="1" x14ac:dyDescent="0.35">
      <c r="F24" s="5"/>
      <c r="G24" s="5"/>
    </row>
    <row r="25" spans="1:40" s="4" customFormat="1" x14ac:dyDescent="0.35">
      <c r="E25" s="18">
        <v>14645.965108725062</v>
      </c>
      <c r="F25" s="17"/>
      <c r="G25" s="15"/>
      <c r="H25" s="15">
        <f>H21+H22</f>
        <v>5514014.0012920611</v>
      </c>
      <c r="I25" s="15">
        <f t="shared" ref="I25:AN25" si="9">H25+I21+I22-I18</f>
        <v>10370132.815700322</v>
      </c>
      <c r="J25" s="15">
        <f t="shared" si="9"/>
        <v>15948404.075198328</v>
      </c>
      <c r="K25" s="15">
        <f t="shared" si="9"/>
        <v>6001687.6462422293</v>
      </c>
      <c r="L25" s="15">
        <f>K25+L21+L22-L18</f>
        <v>-4129199.8082590979</v>
      </c>
      <c r="M25" s="15">
        <f t="shared" si="9"/>
        <v>-19575561.392613791</v>
      </c>
      <c r="N25" s="15">
        <f t="shared" si="9"/>
        <v>-14097090.776067991</v>
      </c>
      <c r="O25" s="15">
        <f t="shared" si="9"/>
        <v>-8112540.3216799796</v>
      </c>
      <c r="P25" s="15">
        <f t="shared" si="9"/>
        <v>-1588571.011470295</v>
      </c>
      <c r="Q25" s="15">
        <f t="shared" si="9"/>
        <v>-44223231.913230531</v>
      </c>
      <c r="R25" s="15">
        <f t="shared" si="9"/>
        <v>-38646146.612283021</v>
      </c>
      <c r="S25" s="15">
        <f t="shared" si="9"/>
        <v>-32509158.514268786</v>
      </c>
      <c r="T25" s="15">
        <f t="shared" si="9"/>
        <v>-25774492.082758218</v>
      </c>
      <c r="U25" s="15">
        <f t="shared" si="9"/>
        <v>-18402161.0910028</v>
      </c>
      <c r="V25" s="15">
        <f t="shared" si="9"/>
        <v>-64529147.56251549</v>
      </c>
      <c r="W25" s="15">
        <f t="shared" si="9"/>
        <v>-58076370.925465859</v>
      </c>
      <c r="X25" s="15">
        <f t="shared" si="9"/>
        <v>-50951185.964491844</v>
      </c>
      <c r="Y25" s="15">
        <f t="shared" si="9"/>
        <v>-72254428.11635606</v>
      </c>
      <c r="Z25" s="15">
        <f t="shared" si="9"/>
        <v>-64894673.672015108</v>
      </c>
      <c r="AA25" s="15">
        <f t="shared" si="9"/>
        <v>-128014200.88904008</v>
      </c>
      <c r="AB25" s="15">
        <f t="shared" si="9"/>
        <v>-122129868.50912574</v>
      </c>
      <c r="AC25" s="15">
        <f t="shared" si="9"/>
        <v>-115505061.79555655</v>
      </c>
      <c r="AD25" s="15">
        <f t="shared" si="9"/>
        <v>-108087077.63466023</v>
      </c>
      <c r="AE25" s="15">
        <f t="shared" si="9"/>
        <v>-99820053.761979848</v>
      </c>
      <c r="AF25" s="15">
        <f t="shared" si="9"/>
        <v>-90644794.702473894</v>
      </c>
      <c r="AG25" s="15">
        <f t="shared" si="9"/>
        <v>-80498588.590518251</v>
      </c>
      <c r="AH25" s="15">
        <f t="shared" si="9"/>
        <v>-69315014.407538429</v>
      </c>
      <c r="AI25" s="15">
        <f t="shared" si="9"/>
        <v>-57023739.15223106</v>
      </c>
      <c r="AJ25" s="15">
        <f t="shared" si="9"/>
        <v>-43550304.434352547</v>
      </c>
      <c r="AK25" s="15">
        <f t="shared" si="9"/>
        <v>-28815901.957906902</v>
      </c>
      <c r="AL25" s="15">
        <f t="shared" si="9"/>
        <v>-12737137.33319819</v>
      </c>
      <c r="AM25" s="15">
        <f t="shared" si="9"/>
        <v>7.1874447166919706E-8</v>
      </c>
      <c r="AN25" s="15">
        <f t="shared" si="9"/>
        <v>7.4957860950380559E-8</v>
      </c>
    </row>
    <row r="26" spans="1:40" x14ac:dyDescent="0.35">
      <c r="E26" s="23"/>
      <c r="G26" s="8"/>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row>
    <row r="27" spans="1:40" x14ac:dyDescent="0.35">
      <c r="H27" s="3"/>
      <c r="I27" s="3"/>
      <c r="J27" s="3"/>
      <c r="K27" s="3"/>
      <c r="L27" s="3"/>
      <c r="M27" s="3"/>
    </row>
    <row r="28" spans="1:40" x14ac:dyDescent="0.35">
      <c r="E28" s="25"/>
      <c r="F28" t="s">
        <v>104</v>
      </c>
      <c r="H28" s="3">
        <f>H21/H20</f>
        <v>14645.965108725062</v>
      </c>
      <c r="I28" s="3">
        <f t="shared" ref="I28:AM28" si="10">I21/I20</f>
        <v>15274.277011889368</v>
      </c>
      <c r="J28" s="3">
        <f t="shared" si="10"/>
        <v>15929.54349569942</v>
      </c>
      <c r="K28" s="3">
        <f t="shared" si="10"/>
        <v>16612.920911664925</v>
      </c>
      <c r="L28" s="3">
        <f t="shared" si="10"/>
        <v>17325.615218775347</v>
      </c>
      <c r="M28" s="3">
        <f t="shared" si="10"/>
        <v>18068.884111660809</v>
      </c>
      <c r="N28" s="3">
        <f t="shared" si="10"/>
        <v>18844.039240051054</v>
      </c>
      <c r="O28" s="3">
        <f t="shared" si="10"/>
        <v>19652.448523449246</v>
      </c>
      <c r="P28" s="3">
        <f t="shared" si="10"/>
        <v>20495.538565105217</v>
      </c>
      <c r="Q28" s="3">
        <f t="shared" si="10"/>
        <v>21374.79716954823</v>
      </c>
      <c r="R28" s="3">
        <f t="shared" si="10"/>
        <v>22291.775968121849</v>
      </c>
      <c r="S28" s="3">
        <f t="shared" si="10"/>
        <v>23248.093157154275</v>
      </c>
      <c r="T28" s="3">
        <f t="shared" si="10"/>
        <v>24245.436353596189</v>
      </c>
      <c r="U28" s="3">
        <f t="shared" si="10"/>
        <v>25285.565573165466</v>
      </c>
      <c r="V28" s="3">
        <f t="shared" si="10"/>
        <v>26370.316336254262</v>
      </c>
      <c r="W28" s="3">
        <f t="shared" si="10"/>
        <v>27501.60290707957</v>
      </c>
      <c r="X28" s="3">
        <f t="shared" si="10"/>
        <v>28681.421671793283</v>
      </c>
      <c r="Y28" s="3">
        <f t="shared" si="10"/>
        <v>29911.854661513211</v>
      </c>
      <c r="Z28" s="3">
        <f t="shared" si="10"/>
        <v>31195.073226492128</v>
      </c>
      <c r="AA28" s="3">
        <f t="shared" si="10"/>
        <v>32533.341867908639</v>
      </c>
      <c r="AB28" s="3">
        <f t="shared" si="10"/>
        <v>33929.022234041913</v>
      </c>
      <c r="AC28" s="3">
        <f t="shared" si="10"/>
        <v>35384.577287882312</v>
      </c>
      <c r="AD28" s="3">
        <f t="shared" si="10"/>
        <v>36902.575653532462</v>
      </c>
      <c r="AE28" s="3">
        <f t="shared" si="10"/>
        <v>38485.696149069008</v>
      </c>
      <c r="AF28" s="3">
        <f t="shared" si="10"/>
        <v>40136.732513864059</v>
      </c>
      <c r="AG28" s="3">
        <f t="shared" si="10"/>
        <v>41858.59833870882</v>
      </c>
      <c r="AH28" s="3">
        <f t="shared" si="10"/>
        <v>43654.332207439438</v>
      </c>
      <c r="AI28" s="3">
        <f t="shared" si="10"/>
        <v>45527.103059138586</v>
      </c>
      <c r="AJ28" s="3">
        <f t="shared" si="10"/>
        <v>47480.21578037562</v>
      </c>
      <c r="AK28" s="3">
        <f t="shared" si="10"/>
        <v>49517.117037353732</v>
      </c>
      <c r="AL28" s="3">
        <f t="shared" si="10"/>
        <v>51641.401358256211</v>
      </c>
      <c r="AM28" s="3">
        <f t="shared" si="10"/>
        <v>53856.817476525408</v>
      </c>
    </row>
    <row r="30" spans="1:40" x14ac:dyDescent="0.35">
      <c r="F30" t="s">
        <v>105</v>
      </c>
      <c r="I30">
        <f>(I28-H28)/H28</f>
        <v>4.2900000000000021E-2</v>
      </c>
      <c r="J30">
        <f>(J28-I28)/I28</f>
        <v>4.2899999999999862E-2</v>
      </c>
      <c r="K30">
        <f>(K28-J28)/J28</f>
        <v>4.2900000000000049E-2</v>
      </c>
      <c r="L30">
        <f>(L28-K28)/K28</f>
        <v>4.2899999999999772E-2</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5378F-EA94-4646-B0E4-B54FB172A147}">
  <sheetPr codeName="Sheet12">
    <pageSetUpPr fitToPage="1"/>
  </sheetPr>
  <dimension ref="A1:Q24"/>
  <sheetViews>
    <sheetView zoomScale="85" zoomScaleNormal="85" workbookViewId="0">
      <selection sqref="A1:XFD1048576"/>
    </sheetView>
  </sheetViews>
  <sheetFormatPr defaultRowHeight="14.5" x14ac:dyDescent="0.35"/>
  <sheetData>
    <row r="1" spans="1:17" ht="15.5" x14ac:dyDescent="0.35">
      <c r="A1" s="258" t="s">
        <v>106</v>
      </c>
      <c r="B1" s="23"/>
    </row>
    <row r="2" spans="1:17" ht="15" customHeight="1" x14ac:dyDescent="0.35">
      <c r="A2" s="379" t="s">
        <v>107</v>
      </c>
      <c r="B2" s="379"/>
      <c r="C2" s="379"/>
      <c r="D2" s="379"/>
      <c r="E2" s="379"/>
      <c r="F2" s="379"/>
      <c r="G2" s="379"/>
      <c r="H2" s="379"/>
      <c r="I2" s="379"/>
      <c r="J2" s="379"/>
      <c r="K2" s="379"/>
      <c r="L2" s="379"/>
      <c r="M2" s="379"/>
      <c r="N2" s="379"/>
      <c r="Q2" s="57" t="s">
        <v>108</v>
      </c>
    </row>
    <row r="3" spans="1:17" ht="15" customHeight="1" x14ac:dyDescent="0.35">
      <c r="A3" s="379"/>
      <c r="B3" s="379"/>
      <c r="C3" s="379"/>
      <c r="D3" s="379"/>
      <c r="E3" s="379"/>
      <c r="F3" s="379"/>
      <c r="G3" s="379"/>
      <c r="H3" s="379"/>
      <c r="I3" s="379"/>
      <c r="J3" s="379"/>
      <c r="K3" s="379"/>
      <c r="L3" s="379"/>
      <c r="M3" s="379"/>
      <c r="N3" s="379"/>
    </row>
    <row r="4" spans="1:17" x14ac:dyDescent="0.35">
      <c r="A4" s="379"/>
      <c r="B4" s="379"/>
      <c r="C4" s="379"/>
      <c r="D4" s="379"/>
      <c r="E4" s="379"/>
      <c r="F4" s="379"/>
      <c r="G4" s="379"/>
      <c r="H4" s="379"/>
      <c r="I4" s="379"/>
      <c r="J4" s="379"/>
      <c r="K4" s="379"/>
      <c r="L4" s="379"/>
      <c r="M4" s="379"/>
      <c r="N4" s="379"/>
    </row>
    <row r="5" spans="1:17" ht="15" customHeight="1" x14ac:dyDescent="0.35">
      <c r="A5" s="380" t="s">
        <v>109</v>
      </c>
      <c r="B5" s="380"/>
      <c r="C5" s="380"/>
      <c r="D5" s="380"/>
      <c r="E5" s="380"/>
      <c r="F5" s="380"/>
      <c r="G5" s="380"/>
      <c r="H5" s="380"/>
      <c r="I5" s="380"/>
      <c r="J5" s="380"/>
      <c r="K5" s="380"/>
      <c r="L5" s="380"/>
      <c r="M5" s="380"/>
      <c r="N5" s="380"/>
    </row>
    <row r="6" spans="1:17" ht="14.5" customHeight="1" x14ac:dyDescent="0.35">
      <c r="A6" s="380"/>
      <c r="B6" s="380"/>
      <c r="C6" s="380"/>
      <c r="D6" s="380"/>
      <c r="E6" s="380"/>
      <c r="F6" s="380"/>
      <c r="G6" s="380"/>
      <c r="H6" s="380"/>
      <c r="I6" s="380"/>
      <c r="J6" s="380"/>
      <c r="K6" s="380"/>
      <c r="L6" s="380"/>
      <c r="M6" s="380"/>
      <c r="N6" s="380"/>
    </row>
    <row r="7" spans="1:17" ht="14.5" customHeight="1" x14ac:dyDescent="0.35">
      <c r="A7" s="380"/>
      <c r="B7" s="380"/>
      <c r="C7" s="380"/>
      <c r="D7" s="380"/>
      <c r="E7" s="380"/>
      <c r="F7" s="380"/>
      <c r="G7" s="380"/>
      <c r="H7" s="380"/>
      <c r="I7" s="380"/>
      <c r="J7" s="380"/>
      <c r="K7" s="380"/>
      <c r="L7" s="380"/>
      <c r="M7" s="380"/>
      <c r="N7" s="380"/>
    </row>
    <row r="8" spans="1:17" ht="14.5" customHeight="1" x14ac:dyDescent="0.35">
      <c r="A8" s="380"/>
      <c r="B8" s="380"/>
      <c r="C8" s="380"/>
      <c r="D8" s="380"/>
      <c r="E8" s="380"/>
      <c r="F8" s="380"/>
      <c r="G8" s="380"/>
      <c r="H8" s="380"/>
      <c r="I8" s="380"/>
      <c r="J8" s="380"/>
      <c r="K8" s="380"/>
      <c r="L8" s="380"/>
      <c r="M8" s="380"/>
      <c r="N8" s="380"/>
    </row>
    <row r="9" spans="1:17" ht="14.5" customHeight="1" x14ac:dyDescent="0.35">
      <c r="A9" s="380"/>
      <c r="B9" s="380"/>
      <c r="C9" s="380"/>
      <c r="D9" s="380"/>
      <c r="E9" s="380"/>
      <c r="F9" s="380"/>
      <c r="G9" s="380"/>
      <c r="H9" s="380"/>
      <c r="I9" s="380"/>
      <c r="J9" s="380"/>
      <c r="K9" s="380"/>
      <c r="L9" s="380"/>
      <c r="M9" s="380"/>
      <c r="N9" s="380"/>
    </row>
    <row r="10" spans="1:17" ht="14.5" customHeight="1" x14ac:dyDescent="0.35">
      <c r="A10" s="380"/>
      <c r="B10" s="380"/>
      <c r="C10" s="380"/>
      <c r="D10" s="380"/>
      <c r="E10" s="380"/>
      <c r="F10" s="380"/>
      <c r="G10" s="380"/>
      <c r="H10" s="380"/>
      <c r="I10" s="380"/>
      <c r="J10" s="380"/>
      <c r="K10" s="380"/>
      <c r="L10" s="380"/>
      <c r="M10" s="380"/>
      <c r="N10" s="380"/>
    </row>
    <row r="11" spans="1:17" ht="14.5" customHeight="1" x14ac:dyDescent="0.35">
      <c r="A11" s="380"/>
      <c r="B11" s="380"/>
      <c r="C11" s="380"/>
      <c r="D11" s="380"/>
      <c r="E11" s="380"/>
      <c r="F11" s="380"/>
      <c r="G11" s="380"/>
      <c r="H11" s="380"/>
      <c r="I11" s="380"/>
      <c r="J11" s="380"/>
      <c r="K11" s="380"/>
      <c r="L11" s="380"/>
      <c r="M11" s="380"/>
      <c r="N11" s="380"/>
    </row>
    <row r="12" spans="1:17" ht="14.5" customHeight="1" x14ac:dyDescent="0.35">
      <c r="A12" s="380"/>
      <c r="B12" s="380"/>
      <c r="C12" s="380"/>
      <c r="D12" s="380"/>
      <c r="E12" s="380"/>
      <c r="F12" s="380"/>
      <c r="G12" s="380"/>
      <c r="H12" s="380"/>
      <c r="I12" s="380"/>
      <c r="J12" s="380"/>
      <c r="K12" s="380"/>
      <c r="L12" s="380"/>
      <c r="M12" s="380"/>
      <c r="N12" s="380"/>
    </row>
    <row r="13" spans="1:17" ht="14.5" customHeight="1" x14ac:dyDescent="0.35">
      <c r="A13" s="380"/>
      <c r="B13" s="380"/>
      <c r="C13" s="380"/>
      <c r="D13" s="380"/>
      <c r="E13" s="380"/>
      <c r="F13" s="380"/>
      <c r="G13" s="380"/>
      <c r="H13" s="380"/>
      <c r="I13" s="380"/>
      <c r="J13" s="380"/>
      <c r="K13" s="380"/>
      <c r="L13" s="380"/>
      <c r="M13" s="380"/>
      <c r="N13" s="380"/>
    </row>
    <row r="14" spans="1:17" ht="14.5" customHeight="1" x14ac:dyDescent="0.35">
      <c r="A14" s="380"/>
      <c r="B14" s="380"/>
      <c r="C14" s="380"/>
      <c r="D14" s="380"/>
      <c r="E14" s="380"/>
      <c r="F14" s="380"/>
      <c r="G14" s="380"/>
      <c r="H14" s="380"/>
      <c r="I14" s="380"/>
      <c r="J14" s="380"/>
      <c r="K14" s="380"/>
      <c r="L14" s="380"/>
      <c r="M14" s="380"/>
      <c r="N14" s="380"/>
    </row>
    <row r="15" spans="1:17" ht="14.5" customHeight="1" x14ac:dyDescent="0.35">
      <c r="A15" s="380"/>
      <c r="B15" s="380"/>
      <c r="C15" s="380"/>
      <c r="D15" s="380"/>
      <c r="E15" s="380"/>
      <c r="F15" s="380"/>
      <c r="G15" s="380"/>
      <c r="H15" s="380"/>
      <c r="I15" s="380"/>
      <c r="J15" s="380"/>
      <c r="K15" s="380"/>
      <c r="L15" s="380"/>
      <c r="M15" s="380"/>
      <c r="N15" s="380"/>
    </row>
    <row r="16" spans="1:17" ht="14.5" customHeight="1" x14ac:dyDescent="0.35">
      <c r="A16" s="380"/>
      <c r="B16" s="380"/>
      <c r="C16" s="380"/>
      <c r="D16" s="380"/>
      <c r="E16" s="380"/>
      <c r="F16" s="380"/>
      <c r="G16" s="380"/>
      <c r="H16" s="380"/>
      <c r="I16" s="380"/>
      <c r="J16" s="380"/>
      <c r="K16" s="380"/>
      <c r="L16" s="380"/>
      <c r="M16" s="380"/>
      <c r="N16" s="380"/>
    </row>
    <row r="17" spans="1:14" ht="14.5" customHeight="1" x14ac:dyDescent="0.35">
      <c r="A17" s="380"/>
      <c r="B17" s="380"/>
      <c r="C17" s="380"/>
      <c r="D17" s="380"/>
      <c r="E17" s="380"/>
      <c r="F17" s="380"/>
      <c r="G17" s="380"/>
      <c r="H17" s="380"/>
      <c r="I17" s="380"/>
      <c r="J17" s="380"/>
      <c r="K17" s="380"/>
      <c r="L17" s="380"/>
      <c r="M17" s="380"/>
      <c r="N17" s="380"/>
    </row>
    <row r="18" spans="1:14" ht="44.25" customHeight="1" x14ac:dyDescent="0.35">
      <c r="A18" s="380"/>
      <c r="B18" s="380"/>
      <c r="C18" s="380"/>
      <c r="D18" s="380"/>
      <c r="E18" s="380"/>
      <c r="F18" s="380"/>
      <c r="G18" s="380"/>
      <c r="H18" s="380"/>
      <c r="I18" s="380"/>
      <c r="J18" s="380"/>
      <c r="K18" s="380"/>
      <c r="L18" s="380"/>
      <c r="M18" s="380"/>
      <c r="N18" s="380"/>
    </row>
    <row r="19" spans="1:14" ht="14.5" customHeight="1" x14ac:dyDescent="0.35">
      <c r="A19" s="380"/>
      <c r="B19" s="380"/>
      <c r="C19" s="380"/>
      <c r="D19" s="380"/>
      <c r="E19" s="380"/>
      <c r="F19" s="380"/>
      <c r="G19" s="380"/>
      <c r="H19" s="380"/>
      <c r="I19" s="380"/>
      <c r="J19" s="380"/>
      <c r="K19" s="380"/>
      <c r="L19" s="380"/>
      <c r="M19" s="380"/>
      <c r="N19" s="380"/>
    </row>
    <row r="20" spans="1:14" ht="14.5" customHeight="1" x14ac:dyDescent="0.35">
      <c r="A20" s="380"/>
      <c r="B20" s="380"/>
      <c r="C20" s="380"/>
      <c r="D20" s="380"/>
      <c r="E20" s="380"/>
      <c r="F20" s="380"/>
      <c r="G20" s="380"/>
      <c r="H20" s="380"/>
      <c r="I20" s="380"/>
      <c r="J20" s="380"/>
      <c r="K20" s="380"/>
      <c r="L20" s="380"/>
      <c r="M20" s="380"/>
      <c r="N20" s="380"/>
    </row>
    <row r="22" spans="1:14" x14ac:dyDescent="0.35">
      <c r="E22" s="32"/>
    </row>
    <row r="24" spans="1:14" ht="15" customHeight="1" x14ac:dyDescent="0.35"/>
  </sheetData>
  <mergeCells count="2">
    <mergeCell ref="A2:N4"/>
    <mergeCell ref="A5:N20"/>
  </mergeCells>
  <pageMargins left="0.7" right="0.7" top="0.75" bottom="0.75" header="0.3" footer="0.3"/>
  <pageSetup scale="5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A0A43-BC3C-4280-8A11-E3491BCBC157}">
  <sheetPr codeName="Sheet9">
    <pageSetUpPr fitToPage="1"/>
  </sheetPr>
  <dimension ref="A1:I41"/>
  <sheetViews>
    <sheetView topLeftCell="B1" zoomScaleNormal="100" workbookViewId="0">
      <selection activeCell="B1" sqref="A1:XFD1048576"/>
    </sheetView>
  </sheetViews>
  <sheetFormatPr defaultRowHeight="14.5" x14ac:dyDescent="0.35"/>
  <cols>
    <col min="1" max="1" width="3.54296875" hidden="1" customWidth="1"/>
    <col min="2" max="2" width="43.1796875" customWidth="1"/>
    <col min="3" max="11" width="26.1796875" customWidth="1"/>
  </cols>
  <sheetData>
    <row r="1" spans="2:6" ht="15.5" x14ac:dyDescent="0.35">
      <c r="B1" s="258" t="s">
        <v>110</v>
      </c>
    </row>
    <row r="3" spans="2:6" x14ac:dyDescent="0.35">
      <c r="B3" s="46" t="s">
        <v>111</v>
      </c>
    </row>
    <row r="4" spans="2:6" x14ac:dyDescent="0.35">
      <c r="B4" s="46"/>
    </row>
    <row r="5" spans="2:6" ht="28.5" customHeight="1" x14ac:dyDescent="0.35">
      <c r="B5" s="259" t="s">
        <v>112</v>
      </c>
      <c r="C5" s="381" t="s">
        <v>113</v>
      </c>
      <c r="D5" s="381"/>
      <c r="E5" s="381"/>
      <c r="F5" s="381"/>
    </row>
    <row r="6" spans="2:6" ht="31.5" customHeight="1" x14ac:dyDescent="0.35">
      <c r="B6" s="259" t="s">
        <v>114</v>
      </c>
      <c r="C6" s="381" t="s">
        <v>115</v>
      </c>
      <c r="D6" s="381"/>
      <c r="E6" s="381"/>
      <c r="F6" s="381"/>
    </row>
    <row r="7" spans="2:6" ht="15.75" customHeight="1" x14ac:dyDescent="0.35">
      <c r="B7" s="259" t="s">
        <v>116</v>
      </c>
      <c r="C7" s="381" t="s">
        <v>117</v>
      </c>
      <c r="D7" s="381"/>
      <c r="E7" s="381"/>
      <c r="F7" s="381"/>
    </row>
    <row r="8" spans="2:6" x14ac:dyDescent="0.35">
      <c r="B8" s="46"/>
    </row>
    <row r="9" spans="2:6" x14ac:dyDescent="0.35">
      <c r="B9" s="57" t="s">
        <v>118</v>
      </c>
    </row>
    <row r="10" spans="2:6" x14ac:dyDescent="0.35">
      <c r="B10" s="46"/>
    </row>
    <row r="11" spans="2:6" ht="28" x14ac:dyDescent="0.35">
      <c r="B11" s="206" t="s">
        <v>119</v>
      </c>
      <c r="C11" s="212" t="s">
        <v>120</v>
      </c>
      <c r="D11" s="209" t="s">
        <v>121</v>
      </c>
      <c r="E11" s="215" t="s">
        <v>122</v>
      </c>
      <c r="F11" s="218" t="s">
        <v>123</v>
      </c>
    </row>
    <row r="12" spans="2:6" x14ac:dyDescent="0.35">
      <c r="B12" s="207" t="s">
        <v>92</v>
      </c>
      <c r="C12" s="213">
        <v>1</v>
      </c>
      <c r="D12" s="210">
        <v>27300000</v>
      </c>
      <c r="E12" s="216">
        <v>2031</v>
      </c>
      <c r="F12" s="219">
        <f>E12-2024+1</f>
        <v>8</v>
      </c>
    </row>
    <row r="13" spans="2:6" x14ac:dyDescent="0.35">
      <c r="B13" s="207" t="s">
        <v>93</v>
      </c>
      <c r="C13" s="213">
        <v>1</v>
      </c>
      <c r="D13" s="210">
        <v>22100000</v>
      </c>
      <c r="E13" s="216">
        <v>2045</v>
      </c>
      <c r="F13" s="219">
        <f t="shared" ref="F13:F19" si="0">E13-2024+1</f>
        <v>22</v>
      </c>
    </row>
    <row r="14" spans="2:6" x14ac:dyDescent="0.35">
      <c r="B14" s="207" t="s">
        <v>94</v>
      </c>
      <c r="C14" s="213">
        <v>1</v>
      </c>
      <c r="D14" s="210">
        <v>17750000</v>
      </c>
      <c r="E14" s="216">
        <v>2043</v>
      </c>
      <c r="F14" s="219">
        <f t="shared" si="0"/>
        <v>20</v>
      </c>
    </row>
    <row r="15" spans="2:6" x14ac:dyDescent="0.35">
      <c r="B15" s="207" t="s">
        <v>96</v>
      </c>
      <c r="C15" s="213">
        <v>1</v>
      </c>
      <c r="D15" s="210">
        <v>17750000</v>
      </c>
      <c r="E15" s="216">
        <v>2040</v>
      </c>
      <c r="F15" s="219">
        <f t="shared" si="0"/>
        <v>17</v>
      </c>
    </row>
    <row r="16" spans="2:6" x14ac:dyDescent="0.35">
      <c r="B16" s="207" t="s">
        <v>97</v>
      </c>
      <c r="C16" s="213">
        <v>1</v>
      </c>
      <c r="D16" s="210">
        <v>22100000</v>
      </c>
      <c r="E16" s="216">
        <v>2037</v>
      </c>
      <c r="F16" s="219">
        <f t="shared" si="0"/>
        <v>14</v>
      </c>
    </row>
    <row r="17" spans="2:9" x14ac:dyDescent="0.35">
      <c r="B17" s="207" t="s">
        <v>98</v>
      </c>
      <c r="C17" s="213">
        <v>1</v>
      </c>
      <c r="D17" s="210">
        <v>17750000</v>
      </c>
      <c r="E17" s="216">
        <v>2033</v>
      </c>
      <c r="F17" s="219">
        <f t="shared" si="0"/>
        <v>10</v>
      </c>
    </row>
    <row r="18" spans="2:9" x14ac:dyDescent="0.35">
      <c r="B18" s="207" t="s">
        <v>124</v>
      </c>
      <c r="C18" s="213">
        <v>1</v>
      </c>
      <c r="D18" s="210">
        <v>17750000</v>
      </c>
      <c r="E18" s="216">
        <v>2048</v>
      </c>
      <c r="F18" s="219">
        <f t="shared" si="0"/>
        <v>25</v>
      </c>
    </row>
    <row r="19" spans="2:9" x14ac:dyDescent="0.35">
      <c r="B19" s="208" t="s">
        <v>125</v>
      </c>
      <c r="C19" s="214">
        <v>1</v>
      </c>
      <c r="D19" s="211">
        <v>17750000</v>
      </c>
      <c r="E19" s="217">
        <v>2053</v>
      </c>
      <c r="F19" s="220">
        <f t="shared" si="0"/>
        <v>30</v>
      </c>
    </row>
    <row r="20" spans="2:9" x14ac:dyDescent="0.35">
      <c r="B20" s="69"/>
      <c r="C20" s="69"/>
      <c r="D20" s="81"/>
      <c r="E20" s="69"/>
      <c r="F20" s="69"/>
      <c r="G20" s="69"/>
      <c r="H20" s="69"/>
      <c r="I20" s="69"/>
    </row>
    <row r="21" spans="2:9" x14ac:dyDescent="0.35">
      <c r="B21" s="230" t="s">
        <v>126</v>
      </c>
    </row>
    <row r="22" spans="2:9" x14ac:dyDescent="0.35">
      <c r="B22" s="221" t="s">
        <v>127</v>
      </c>
      <c r="C22" s="222"/>
      <c r="D22" s="231" t="s">
        <v>128</v>
      </c>
      <c r="E22" s="232" t="s">
        <v>129</v>
      </c>
    </row>
    <row r="23" spans="2:9" x14ac:dyDescent="0.35">
      <c r="B23" s="223" t="s">
        <v>130</v>
      </c>
      <c r="C23" s="78"/>
      <c r="D23" s="79">
        <f>1100*13000</f>
        <v>14300000</v>
      </c>
      <c r="E23" s="224" t="s">
        <v>131</v>
      </c>
    </row>
    <row r="24" spans="2:9" x14ac:dyDescent="0.35">
      <c r="B24" s="223" t="s">
        <v>132</v>
      </c>
      <c r="C24" s="78"/>
      <c r="D24" s="79">
        <f>1300000*1.5</f>
        <v>1950000</v>
      </c>
      <c r="E24" s="224" t="s">
        <v>133</v>
      </c>
    </row>
    <row r="25" spans="2:9" x14ac:dyDescent="0.35">
      <c r="B25" s="223" t="s">
        <v>134</v>
      </c>
      <c r="C25" s="78"/>
      <c r="D25" s="79">
        <v>1100000</v>
      </c>
      <c r="E25" s="225"/>
    </row>
    <row r="26" spans="2:9" x14ac:dyDescent="0.35">
      <c r="B26" s="223" t="s">
        <v>135</v>
      </c>
      <c r="C26" s="78"/>
      <c r="D26" s="79">
        <v>400000</v>
      </c>
      <c r="E26" s="225"/>
    </row>
    <row r="27" spans="2:9" x14ac:dyDescent="0.35">
      <c r="B27" s="226" t="s">
        <v>136</v>
      </c>
      <c r="C27" s="227"/>
      <c r="D27" s="228">
        <f>SUM(D23:D26)</f>
        <v>17750000</v>
      </c>
      <c r="E27" s="229"/>
    </row>
    <row r="28" spans="2:9" x14ac:dyDescent="0.35">
      <c r="B28" s="46"/>
      <c r="C28" s="46"/>
      <c r="D28" s="46"/>
      <c r="E28" s="46"/>
    </row>
    <row r="29" spans="2:9" x14ac:dyDescent="0.35">
      <c r="B29" s="221" t="s">
        <v>137</v>
      </c>
      <c r="C29" s="222"/>
      <c r="D29" s="231" t="s">
        <v>128</v>
      </c>
      <c r="E29" s="232" t="s">
        <v>129</v>
      </c>
    </row>
    <row r="30" spans="2:9" x14ac:dyDescent="0.35">
      <c r="B30" s="223" t="s">
        <v>130</v>
      </c>
      <c r="C30" s="78"/>
      <c r="D30" s="79">
        <f>1100*15000</f>
        <v>16500000</v>
      </c>
      <c r="E30" s="224" t="s">
        <v>138</v>
      </c>
    </row>
    <row r="31" spans="2:9" x14ac:dyDescent="0.35">
      <c r="B31" s="223" t="s">
        <v>132</v>
      </c>
      <c r="C31" s="78"/>
      <c r="D31" s="79">
        <f>1300000*2</f>
        <v>2600000</v>
      </c>
      <c r="E31" s="224" t="s">
        <v>139</v>
      </c>
    </row>
    <row r="32" spans="2:9" x14ac:dyDescent="0.35">
      <c r="B32" s="223" t="s">
        <v>140</v>
      </c>
      <c r="C32" s="78"/>
      <c r="D32" s="79">
        <v>2200000</v>
      </c>
      <c r="E32" s="225"/>
    </row>
    <row r="33" spans="2:5" x14ac:dyDescent="0.35">
      <c r="B33" s="223" t="s">
        <v>135</v>
      </c>
      <c r="C33" s="78"/>
      <c r="D33" s="79">
        <v>800000</v>
      </c>
      <c r="E33" s="225"/>
    </row>
    <row r="34" spans="2:5" x14ac:dyDescent="0.35">
      <c r="B34" s="226" t="s">
        <v>136</v>
      </c>
      <c r="C34" s="227"/>
      <c r="D34" s="228">
        <f>SUM(D30:D33)</f>
        <v>22100000</v>
      </c>
      <c r="E34" s="229"/>
    </row>
    <row r="35" spans="2:5" x14ac:dyDescent="0.35">
      <c r="B35" s="46"/>
      <c r="C35" s="46"/>
      <c r="D35" s="46"/>
      <c r="E35" s="46"/>
    </row>
    <row r="36" spans="2:5" x14ac:dyDescent="0.35">
      <c r="B36" s="221" t="s">
        <v>141</v>
      </c>
      <c r="C36" s="222"/>
      <c r="D36" s="231" t="s">
        <v>128</v>
      </c>
      <c r="E36" s="232" t="s">
        <v>129</v>
      </c>
    </row>
    <row r="37" spans="2:5" x14ac:dyDescent="0.35">
      <c r="B37" s="223" t="s">
        <v>130</v>
      </c>
      <c r="C37" s="78"/>
      <c r="D37" s="79">
        <f>1100*17500</f>
        <v>19250000</v>
      </c>
      <c r="E37" s="224" t="s">
        <v>142</v>
      </c>
    </row>
    <row r="38" spans="2:5" x14ac:dyDescent="0.35">
      <c r="B38" s="223" t="s">
        <v>132</v>
      </c>
      <c r="C38" s="78"/>
      <c r="D38" s="79">
        <f>1300000*2.5</f>
        <v>3250000</v>
      </c>
      <c r="E38" s="224" t="s">
        <v>143</v>
      </c>
    </row>
    <row r="39" spans="2:5" x14ac:dyDescent="0.35">
      <c r="B39" s="223" t="s">
        <v>144</v>
      </c>
      <c r="C39" s="78"/>
      <c r="D39" s="79">
        <v>3600000</v>
      </c>
      <c r="E39" s="225"/>
    </row>
    <row r="40" spans="2:5" x14ac:dyDescent="0.35">
      <c r="B40" s="223" t="s">
        <v>135</v>
      </c>
      <c r="C40" s="78"/>
      <c r="D40" s="79">
        <f>400000*3</f>
        <v>1200000</v>
      </c>
      <c r="E40" s="225"/>
    </row>
    <row r="41" spans="2:5" x14ac:dyDescent="0.35">
      <c r="B41" s="226" t="s">
        <v>136</v>
      </c>
      <c r="C41" s="227"/>
      <c r="D41" s="228">
        <f>SUM(D37:D40)</f>
        <v>27300000</v>
      </c>
      <c r="E41" s="229"/>
    </row>
  </sheetData>
  <mergeCells count="3">
    <mergeCell ref="C5:F5"/>
    <mergeCell ref="C6:F6"/>
    <mergeCell ref="C7:F7"/>
  </mergeCells>
  <pageMargins left="0.7" right="0.7" top="0.75" bottom="0.75" header="0.3" footer="0.3"/>
  <pageSetup scale="7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DECC9-F277-46CF-B453-7F80ECAF8703}">
  <sheetPr>
    <pageSetUpPr fitToPage="1"/>
  </sheetPr>
  <dimension ref="A1:P23"/>
  <sheetViews>
    <sheetView zoomScale="90" zoomScaleNormal="90" workbookViewId="0">
      <selection activeCell="F6" sqref="F6"/>
    </sheetView>
  </sheetViews>
  <sheetFormatPr defaultRowHeight="14.5" x14ac:dyDescent="0.35"/>
  <cols>
    <col min="1" max="1" width="36.26953125" customWidth="1"/>
    <col min="2" max="2" width="39.54296875" bestFit="1" customWidth="1"/>
    <col min="3" max="3" width="33" customWidth="1"/>
    <col min="4" max="4" width="25.453125" customWidth="1"/>
    <col min="5" max="5" width="21.54296875" customWidth="1"/>
    <col min="6" max="14" width="30.54296875" customWidth="1"/>
    <col min="16" max="16" width="11.453125" hidden="1" customWidth="1"/>
  </cols>
  <sheetData>
    <row r="1" spans="1:9" ht="15.5" x14ac:dyDescent="0.35">
      <c r="A1" s="258" t="s">
        <v>145</v>
      </c>
    </row>
    <row r="2" spans="1:9" x14ac:dyDescent="0.35">
      <c r="A2" s="46"/>
      <c r="B2" s="46"/>
      <c r="C2" s="46"/>
      <c r="D2" s="46"/>
      <c r="E2" s="46"/>
    </row>
    <row r="3" spans="1:9" s="46" customFormat="1" ht="30" customHeight="1" x14ac:dyDescent="0.3">
      <c r="A3" s="70" t="s">
        <v>146</v>
      </c>
      <c r="B3" s="382" t="s">
        <v>147</v>
      </c>
      <c r="C3" s="382"/>
      <c r="D3" s="382"/>
      <c r="E3" s="383"/>
    </row>
    <row r="4" spans="1:9" ht="89.15" customHeight="1" x14ac:dyDescent="0.35">
      <c r="A4" s="70" t="s">
        <v>148</v>
      </c>
      <c r="B4" s="393" t="s">
        <v>149</v>
      </c>
      <c r="C4" s="394"/>
      <c r="D4" s="394"/>
      <c r="E4" s="395"/>
    </row>
    <row r="5" spans="1:9" ht="43.5" customHeight="1" x14ac:dyDescent="0.35">
      <c r="A5" s="71" t="s">
        <v>150</v>
      </c>
      <c r="B5" s="396" t="s">
        <v>151</v>
      </c>
      <c r="C5" s="396"/>
      <c r="D5" s="396"/>
      <c r="E5" s="397"/>
    </row>
    <row r="6" spans="1:9" ht="99" customHeight="1" x14ac:dyDescent="0.35">
      <c r="A6" s="71" t="s">
        <v>152</v>
      </c>
      <c r="B6" s="396" t="s">
        <v>153</v>
      </c>
      <c r="C6" s="396"/>
      <c r="D6" s="396"/>
      <c r="E6" s="397"/>
    </row>
    <row r="7" spans="1:9" ht="14.5" customHeight="1" x14ac:dyDescent="0.35">
      <c r="A7" s="398" t="s">
        <v>154</v>
      </c>
      <c r="B7" s="396" t="s">
        <v>155</v>
      </c>
      <c r="C7" s="400"/>
      <c r="D7" s="400"/>
      <c r="E7" s="401"/>
    </row>
    <row r="8" spans="1:9" x14ac:dyDescent="0.35">
      <c r="A8" s="398"/>
      <c r="B8" s="400"/>
      <c r="C8" s="400"/>
      <c r="D8" s="400"/>
      <c r="E8" s="401"/>
    </row>
    <row r="9" spans="1:9" x14ac:dyDescent="0.35">
      <c r="A9" s="398"/>
      <c r="B9" s="400"/>
      <c r="C9" s="400"/>
      <c r="D9" s="400"/>
      <c r="E9" s="401"/>
    </row>
    <row r="10" spans="1:9" x14ac:dyDescent="0.35">
      <c r="A10" s="398"/>
      <c r="B10" s="400"/>
      <c r="C10" s="400"/>
      <c r="D10" s="400"/>
      <c r="E10" s="401"/>
    </row>
    <row r="11" spans="1:9" x14ac:dyDescent="0.35">
      <c r="A11" s="399"/>
      <c r="B11" s="402"/>
      <c r="C11" s="402"/>
      <c r="D11" s="402"/>
      <c r="E11" s="403"/>
    </row>
    <row r="12" spans="1:9" x14ac:dyDescent="0.35">
      <c r="A12" s="57"/>
      <c r="B12" s="46"/>
      <c r="C12" s="46"/>
      <c r="D12" s="46"/>
      <c r="E12" s="46"/>
    </row>
    <row r="13" spans="1:9" s="50" customFormat="1" ht="32.25" customHeight="1" x14ac:dyDescent="0.35">
      <c r="A13" s="391" t="s">
        <v>156</v>
      </c>
      <c r="B13" s="386" t="s">
        <v>157</v>
      </c>
      <c r="C13" s="386" t="s">
        <v>158</v>
      </c>
      <c r="D13" s="388" t="s">
        <v>159</v>
      </c>
      <c r="E13" s="388" t="s">
        <v>160</v>
      </c>
      <c r="F13" s="390"/>
      <c r="G13" s="384" t="s">
        <v>161</v>
      </c>
      <c r="H13" s="385"/>
    </row>
    <row r="14" spans="1:9" s="50" customFormat="1" ht="49" customHeight="1" x14ac:dyDescent="0.35">
      <c r="A14" s="392"/>
      <c r="B14" s="387"/>
      <c r="C14" s="387"/>
      <c r="D14" s="389"/>
      <c r="E14" s="77" t="s">
        <v>162</v>
      </c>
      <c r="F14" s="250" t="s">
        <v>163</v>
      </c>
      <c r="G14" s="240" t="s">
        <v>162</v>
      </c>
      <c r="H14" s="248" t="s">
        <v>163</v>
      </c>
    </row>
    <row r="15" spans="1:9" s="50" customFormat="1" ht="49.5" customHeight="1" x14ac:dyDescent="0.35">
      <c r="A15" s="233">
        <v>1</v>
      </c>
      <c r="B15" s="82" t="s">
        <v>164</v>
      </c>
      <c r="C15" s="76" t="s">
        <v>165</v>
      </c>
      <c r="D15" s="75">
        <v>67208.30647548</v>
      </c>
      <c r="E15" s="75">
        <v>3221.7081973661325</v>
      </c>
      <c r="F15" s="251">
        <f>ROUND(E15/D15,2)</f>
        <v>0.05</v>
      </c>
      <c r="G15" s="241">
        <v>63986.598278113866</v>
      </c>
      <c r="H15" s="234">
        <f>ROUND(G15/D15,2)</f>
        <v>0.95</v>
      </c>
      <c r="I15" s="196"/>
    </row>
    <row r="16" spans="1:9" s="50" customFormat="1" ht="49.5" customHeight="1" x14ac:dyDescent="0.35">
      <c r="A16" s="233">
        <v>2</v>
      </c>
      <c r="B16" s="82" t="s">
        <v>166</v>
      </c>
      <c r="C16" s="76" t="s">
        <v>167</v>
      </c>
      <c r="D16" s="75">
        <v>55420.313698000005</v>
      </c>
      <c r="E16" s="197">
        <f>'[1]Glacier Ridge'!D7</f>
        <v>0</v>
      </c>
      <c r="F16" s="251">
        <f t="shared" ref="F16:F22" si="0">ROUND(E16/D16,2)</f>
        <v>0</v>
      </c>
      <c r="G16" s="242">
        <v>52735.606973145266</v>
      </c>
      <c r="H16" s="234">
        <f t="shared" ref="H16:H22" si="1">ROUND(G16/D16,2)</f>
        <v>0.95</v>
      </c>
      <c r="I16" s="196"/>
    </row>
    <row r="17" spans="1:14" s="50" customFormat="1" ht="49.5" customHeight="1" x14ac:dyDescent="0.35">
      <c r="A17" s="233">
        <v>3</v>
      </c>
      <c r="B17" s="82" t="s">
        <v>168</v>
      </c>
      <c r="C17" s="76" t="s">
        <v>169</v>
      </c>
      <c r="D17" s="75">
        <v>24442.447591679505</v>
      </c>
      <c r="E17" s="197">
        <v>239.77783134938079</v>
      </c>
      <c r="F17" s="251">
        <f t="shared" si="0"/>
        <v>0.01</v>
      </c>
      <c r="G17" s="242">
        <v>24202.669760330125</v>
      </c>
      <c r="H17" s="234">
        <f t="shared" si="1"/>
        <v>0.99</v>
      </c>
      <c r="I17" s="196"/>
    </row>
    <row r="18" spans="1:14" s="50" customFormat="1" ht="49.5" customHeight="1" x14ac:dyDescent="0.35">
      <c r="A18" s="233">
        <v>4</v>
      </c>
      <c r="B18" s="82" t="s">
        <v>170</v>
      </c>
      <c r="C18" s="76" t="s">
        <v>171</v>
      </c>
      <c r="D18" s="75">
        <v>41086.661003000001</v>
      </c>
      <c r="E18" s="197">
        <v>3052.0691881545617</v>
      </c>
      <c r="F18" s="251">
        <f t="shared" si="0"/>
        <v>7.0000000000000007E-2</v>
      </c>
      <c r="G18" s="242">
        <v>38034.591814845437</v>
      </c>
      <c r="H18" s="234">
        <f t="shared" si="1"/>
        <v>0.93</v>
      </c>
      <c r="I18" s="196"/>
    </row>
    <row r="19" spans="1:14" s="50" customFormat="1" ht="49.5" customHeight="1" x14ac:dyDescent="0.35">
      <c r="A19" s="233">
        <v>5</v>
      </c>
      <c r="B19" s="82" t="s">
        <v>172</v>
      </c>
      <c r="C19" s="76" t="s">
        <v>173</v>
      </c>
      <c r="D19" s="75">
        <v>61487.015406999999</v>
      </c>
      <c r="E19" s="197">
        <v>12290.91784788616</v>
      </c>
      <c r="F19" s="251">
        <f t="shared" si="0"/>
        <v>0.2</v>
      </c>
      <c r="G19" s="242">
        <v>49196.097559113834</v>
      </c>
      <c r="H19" s="234">
        <f t="shared" si="1"/>
        <v>0.8</v>
      </c>
      <c r="I19" s="196"/>
    </row>
    <row r="20" spans="1:14" s="50" customFormat="1" ht="49.5" customHeight="1" x14ac:dyDescent="0.35">
      <c r="A20" s="233">
        <v>6</v>
      </c>
      <c r="B20" s="82" t="s">
        <v>98</v>
      </c>
      <c r="C20" s="76" t="s">
        <v>174</v>
      </c>
      <c r="D20" s="75">
        <v>29088.028670999996</v>
      </c>
      <c r="E20" s="197">
        <v>872.2900264417367</v>
      </c>
      <c r="F20" s="251">
        <f>ROUND(E20/D20,2)</f>
        <v>0.03</v>
      </c>
      <c r="G20" s="242">
        <v>28215.738644558263</v>
      </c>
      <c r="H20" s="234">
        <f t="shared" si="1"/>
        <v>0.97</v>
      </c>
      <c r="I20" s="196"/>
    </row>
    <row r="21" spans="1:14" s="50" customFormat="1" ht="49.5" customHeight="1" x14ac:dyDescent="0.35">
      <c r="A21" s="233">
        <v>7</v>
      </c>
      <c r="B21" s="82" t="s">
        <v>175</v>
      </c>
      <c r="C21" s="76" t="s">
        <v>176</v>
      </c>
      <c r="D21" s="75">
        <v>5397.45028</v>
      </c>
      <c r="E21" s="197">
        <v>27.686858633458158</v>
      </c>
      <c r="F21" s="251">
        <f t="shared" si="0"/>
        <v>0.01</v>
      </c>
      <c r="G21" s="242">
        <v>5369.7634213665424</v>
      </c>
      <c r="H21" s="234">
        <f t="shared" si="1"/>
        <v>0.99</v>
      </c>
      <c r="I21" s="196"/>
    </row>
    <row r="22" spans="1:14" s="50" customFormat="1" ht="49.5" customHeight="1" x14ac:dyDescent="0.35">
      <c r="A22" s="235">
        <v>8</v>
      </c>
      <c r="B22" s="236" t="s">
        <v>125</v>
      </c>
      <c r="C22" s="236" t="s">
        <v>177</v>
      </c>
      <c r="D22" s="237">
        <v>5575.664137008901</v>
      </c>
      <c r="E22" s="238">
        <v>1159.336049169307</v>
      </c>
      <c r="F22" s="252">
        <f t="shared" si="0"/>
        <v>0.21</v>
      </c>
      <c r="G22" s="249">
        <v>4416.3280878395926</v>
      </c>
      <c r="H22" s="239">
        <f t="shared" si="1"/>
        <v>0.79</v>
      </c>
      <c r="I22" s="196"/>
    </row>
    <row r="23" spans="1:14" s="46" customFormat="1" ht="49" customHeight="1" x14ac:dyDescent="0.35">
      <c r="A23"/>
      <c r="B23" s="72"/>
      <c r="C23" s="69"/>
      <c r="D23" s="69"/>
      <c r="E23" s="73"/>
      <c r="F23" s="73"/>
      <c r="G23" s="73"/>
      <c r="H23" s="73"/>
      <c r="I23" s="69"/>
      <c r="J23" s="69"/>
      <c r="K23" s="69"/>
      <c r="L23" s="74"/>
      <c r="M23" s="74"/>
      <c r="N23" s="74"/>
    </row>
  </sheetData>
  <mergeCells count="12">
    <mergeCell ref="A13:A14"/>
    <mergeCell ref="B13:B14"/>
    <mergeCell ref="B4:E4"/>
    <mergeCell ref="B5:E5"/>
    <mergeCell ref="B6:E6"/>
    <mergeCell ref="A7:A11"/>
    <mergeCell ref="B7:E11"/>
    <mergeCell ref="B3:E3"/>
    <mergeCell ref="G13:H13"/>
    <mergeCell ref="C13:C14"/>
    <mergeCell ref="D13:D14"/>
    <mergeCell ref="E13:F13"/>
  </mergeCells>
  <conditionalFormatting sqref="E12 E24:E1048576">
    <cfRule type="containsText" dxfId="2" priority="4" operator="containsText" text="Complete">
      <formula>NOT(ISERROR(SEARCH("Complete",E12)))</formula>
    </cfRule>
    <cfRule type="containsText" dxfId="1" priority="5" operator="containsText" text="underway">
      <formula>NOT(ISERROR(SEARCH("underway",E12)))</formula>
    </cfRule>
    <cfRule type="containsText" dxfId="0" priority="6" operator="containsText" text="Future">
      <formula>NOT(ISERROR(SEARCH("Future",E12)))</formula>
    </cfRule>
  </conditionalFormatting>
  <pageMargins left="0.7" right="0.7" top="0.75" bottom="0.75" header="0.3" footer="0.3"/>
  <pageSetup scale="4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92832-AFF5-4169-9CEA-6F3347CDAD24}">
  <sheetPr codeName="Sheet13">
    <pageSetUpPr fitToPage="1"/>
  </sheetPr>
  <dimension ref="A1:AU81"/>
  <sheetViews>
    <sheetView showGridLines="0" zoomScale="85" zoomScaleNormal="85" workbookViewId="0">
      <selection activeCell="J18" sqref="J18"/>
    </sheetView>
  </sheetViews>
  <sheetFormatPr defaultColWidth="22.81640625" defaultRowHeight="14.5" outlineLevelRow="2" x14ac:dyDescent="0.35"/>
  <cols>
    <col min="1" max="1" width="5.1796875" bestFit="1" customWidth="1"/>
    <col min="2" max="2" width="43.26953125" customWidth="1"/>
    <col min="3" max="3" width="13.54296875" customWidth="1"/>
    <col min="4" max="4" width="16.1796875" customWidth="1"/>
    <col min="5" max="5" width="22.1796875" customWidth="1"/>
    <col min="6" max="6" width="13.26953125" customWidth="1"/>
    <col min="7" max="7" width="18.26953125" customWidth="1"/>
    <col min="8" max="8" width="18.453125" customWidth="1"/>
    <col min="9" max="9" width="18.7265625" customWidth="1"/>
    <col min="10" max="37" width="14.26953125" customWidth="1"/>
    <col min="38" max="38" width="15.26953125" customWidth="1"/>
    <col min="39" max="45" width="14.26953125" customWidth="1"/>
    <col min="46" max="46" width="22.81640625" style="36"/>
  </cols>
  <sheetData>
    <row r="1" spans="1:46" s="255" customFormat="1" ht="18.5" x14ac:dyDescent="0.45">
      <c r="A1" s="34" t="s">
        <v>178</v>
      </c>
      <c r="F1" s="256"/>
      <c r="AT1" s="257"/>
    </row>
    <row r="2" spans="1:46" ht="16" thickBot="1" x14ac:dyDescent="0.4">
      <c r="A2" s="34"/>
      <c r="B2" s="31"/>
      <c r="C2" s="31"/>
      <c r="D2" s="35"/>
      <c r="E2" s="31"/>
      <c r="F2" s="31"/>
      <c r="G2" s="31"/>
      <c r="H2" s="31"/>
      <c r="I2" s="31"/>
      <c r="J2" s="1">
        <v>0</v>
      </c>
      <c r="K2" s="1">
        <v>1</v>
      </c>
      <c r="L2" s="1">
        <v>2</v>
      </c>
      <c r="M2" s="1">
        <v>3</v>
      </c>
      <c r="N2" s="1">
        <v>4</v>
      </c>
      <c r="O2" s="1">
        <v>5</v>
      </c>
      <c r="P2" s="1">
        <v>6</v>
      </c>
      <c r="Q2" s="1">
        <v>7</v>
      </c>
      <c r="R2" s="1">
        <v>8</v>
      </c>
      <c r="S2" s="1">
        <v>9</v>
      </c>
      <c r="T2" s="1">
        <v>10</v>
      </c>
      <c r="U2" s="1">
        <v>11</v>
      </c>
      <c r="V2" s="1">
        <v>12</v>
      </c>
      <c r="W2" s="1">
        <v>13</v>
      </c>
      <c r="X2" s="1">
        <v>14</v>
      </c>
      <c r="Y2" s="1">
        <v>15</v>
      </c>
      <c r="Z2" s="1">
        <v>16</v>
      </c>
      <c r="AA2" s="1">
        <v>17</v>
      </c>
      <c r="AB2" s="1">
        <v>18</v>
      </c>
      <c r="AC2" s="1">
        <v>19</v>
      </c>
      <c r="AD2" s="1">
        <v>20</v>
      </c>
      <c r="AE2" s="1">
        <v>21</v>
      </c>
      <c r="AF2" s="1">
        <v>22</v>
      </c>
      <c r="AG2" s="1">
        <v>23</v>
      </c>
      <c r="AH2" s="1">
        <v>24</v>
      </c>
      <c r="AI2" s="1">
        <v>25</v>
      </c>
      <c r="AJ2" s="1">
        <v>26</v>
      </c>
      <c r="AK2" s="1">
        <v>27</v>
      </c>
      <c r="AL2" s="1">
        <v>28</v>
      </c>
      <c r="AM2" s="1">
        <v>29</v>
      </c>
      <c r="AN2" s="1">
        <v>30</v>
      </c>
      <c r="AO2" s="1">
        <v>31</v>
      </c>
      <c r="AP2" s="1">
        <v>32</v>
      </c>
      <c r="AQ2" s="1">
        <v>33</v>
      </c>
      <c r="AR2" s="1">
        <v>34</v>
      </c>
      <c r="AS2" s="1">
        <v>35</v>
      </c>
    </row>
    <row r="3" spans="1:46" s="46" customFormat="1" thickBot="1" x14ac:dyDescent="0.35">
      <c r="A3" s="262" t="s">
        <v>179</v>
      </c>
      <c r="B3" s="263"/>
      <c r="C3" s="264">
        <v>17091.509935634462</v>
      </c>
      <c r="D3" s="421"/>
      <c r="E3" s="422"/>
      <c r="F3" s="423"/>
      <c r="G3" s="265"/>
      <c r="H3" s="266" t="s">
        <v>180</v>
      </c>
      <c r="I3" s="267">
        <f>AS42</f>
        <v>3.5506673157215118E-9</v>
      </c>
      <c r="J3" s="260">
        <v>2023</v>
      </c>
      <c r="K3" s="260">
        <v>2024</v>
      </c>
      <c r="L3" s="260">
        <v>2025</v>
      </c>
      <c r="M3" s="260">
        <v>2026</v>
      </c>
      <c r="N3" s="260">
        <v>2027</v>
      </c>
      <c r="O3" s="260">
        <v>2028</v>
      </c>
      <c r="P3" s="260">
        <v>2029</v>
      </c>
      <c r="Q3" s="260">
        <v>2030</v>
      </c>
      <c r="R3" s="260">
        <v>2031</v>
      </c>
      <c r="S3" s="260">
        <v>2032</v>
      </c>
      <c r="T3" s="260">
        <v>2033</v>
      </c>
      <c r="U3" s="260">
        <v>2034</v>
      </c>
      <c r="V3" s="260">
        <v>2035</v>
      </c>
      <c r="W3" s="260">
        <v>2036</v>
      </c>
      <c r="X3" s="260">
        <v>2037</v>
      </c>
      <c r="Y3" s="260">
        <v>2038</v>
      </c>
      <c r="Z3" s="260">
        <v>2039</v>
      </c>
      <c r="AA3" s="260">
        <v>2040</v>
      </c>
      <c r="AB3" s="260">
        <v>2041</v>
      </c>
      <c r="AC3" s="260">
        <v>2042</v>
      </c>
      <c r="AD3" s="260">
        <v>2043</v>
      </c>
      <c r="AE3" s="260">
        <v>2044</v>
      </c>
      <c r="AF3" s="260">
        <v>2045</v>
      </c>
      <c r="AG3" s="260">
        <v>2046</v>
      </c>
      <c r="AH3" s="260">
        <v>2047</v>
      </c>
      <c r="AI3" s="260">
        <v>2048</v>
      </c>
      <c r="AJ3" s="260">
        <v>2049</v>
      </c>
      <c r="AK3" s="260">
        <v>2050</v>
      </c>
      <c r="AL3" s="260">
        <v>2051</v>
      </c>
      <c r="AM3" s="260">
        <v>2052</v>
      </c>
      <c r="AN3" s="260">
        <v>2053</v>
      </c>
      <c r="AO3" s="260">
        <v>2054</v>
      </c>
      <c r="AP3" s="260">
        <v>2055</v>
      </c>
      <c r="AQ3" s="260">
        <v>2056</v>
      </c>
      <c r="AR3" s="260">
        <v>2057</v>
      </c>
      <c r="AS3" s="260">
        <v>2058</v>
      </c>
      <c r="AT3" s="261"/>
    </row>
    <row r="4" spans="1:46" s="31" customFormat="1" ht="15" customHeight="1" outlineLevel="1" x14ac:dyDescent="0.35">
      <c r="A4" s="34"/>
      <c r="B4" s="424" t="s">
        <v>278</v>
      </c>
      <c r="C4" s="424"/>
      <c r="D4" s="424"/>
      <c r="E4" s="424"/>
      <c r="F4" s="424"/>
      <c r="G4" s="424"/>
      <c r="H4" s="424"/>
      <c r="I4" s="424"/>
      <c r="AT4" s="33"/>
    </row>
    <row r="5" spans="1:46" s="31" customFormat="1" ht="15.75" customHeight="1" outlineLevel="1" x14ac:dyDescent="0.35">
      <c r="B5" s="424"/>
      <c r="C5" s="424"/>
      <c r="D5" s="424"/>
      <c r="E5" s="424"/>
      <c r="F5" s="424"/>
      <c r="G5" s="424"/>
      <c r="H5" s="424"/>
      <c r="I5" s="424"/>
      <c r="AT5" s="33"/>
    </row>
    <row r="6" spans="1:46" s="31" customFormat="1" ht="15.75" customHeight="1" outlineLevel="1" x14ac:dyDescent="0.35">
      <c r="A6" s="37"/>
      <c r="B6" s="424"/>
      <c r="C6" s="424"/>
      <c r="D6" s="424"/>
      <c r="E6" s="424"/>
      <c r="F6" s="424"/>
      <c r="G6" s="424"/>
      <c r="H6" s="424"/>
      <c r="I6" s="424"/>
      <c r="AT6" s="33"/>
    </row>
    <row r="7" spans="1:46" s="31" customFormat="1" ht="15.75" customHeight="1" outlineLevel="1" x14ac:dyDescent="0.35">
      <c r="A7" s="37"/>
      <c r="B7" s="424"/>
      <c r="C7" s="424"/>
      <c r="D7" s="424"/>
      <c r="E7" s="424"/>
      <c r="F7" s="424"/>
      <c r="G7" s="424"/>
      <c r="H7" s="424"/>
      <c r="I7" s="424"/>
      <c r="AT7" s="33"/>
    </row>
    <row r="8" spans="1:46" s="31" customFormat="1" ht="15.75" customHeight="1" outlineLevel="1" x14ac:dyDescent="0.35">
      <c r="A8" s="37"/>
      <c r="B8" s="424"/>
      <c r="C8" s="424"/>
      <c r="D8" s="424"/>
      <c r="E8" s="424"/>
      <c r="F8" s="424"/>
      <c r="G8" s="424"/>
      <c r="H8" s="424"/>
      <c r="I8" s="424"/>
      <c r="AT8" s="33"/>
    </row>
    <row r="9" spans="1:46" s="31" customFormat="1" ht="15.5" outlineLevel="1" x14ac:dyDescent="0.35">
      <c r="A9" s="34"/>
      <c r="B9" s="424"/>
      <c r="C9" s="424"/>
      <c r="D9" s="424"/>
      <c r="E9" s="424"/>
      <c r="F9" s="424"/>
      <c r="G9" s="424"/>
      <c r="H9" s="424"/>
      <c r="I9" s="424"/>
      <c r="AT9" s="33"/>
    </row>
    <row r="10" spans="1:46" s="46" customFormat="1" ht="14" x14ac:dyDescent="0.3">
      <c r="A10" s="268" t="s">
        <v>181</v>
      </c>
      <c r="B10" s="269"/>
      <c r="C10" s="269"/>
      <c r="D10" s="270"/>
      <c r="E10" s="269"/>
      <c r="F10" s="269"/>
      <c r="G10" s="270"/>
      <c r="H10" s="269"/>
      <c r="I10" s="269"/>
      <c r="J10" s="269"/>
      <c r="K10" s="269"/>
      <c r="L10" s="269"/>
      <c r="M10" s="269"/>
      <c r="N10" s="269"/>
      <c r="O10" s="269"/>
      <c r="P10" s="269"/>
      <c r="Q10" s="269"/>
      <c r="R10" s="269"/>
      <c r="S10" s="269"/>
      <c r="T10" s="269"/>
      <c r="U10" s="269"/>
      <c r="V10" s="269"/>
      <c r="W10" s="269"/>
      <c r="X10" s="269"/>
      <c r="Y10" s="269"/>
      <c r="Z10" s="269"/>
      <c r="AA10" s="269"/>
      <c r="AB10" s="269"/>
      <c r="AC10" s="269"/>
      <c r="AD10" s="269"/>
      <c r="AE10" s="269"/>
      <c r="AF10" s="269"/>
      <c r="AG10" s="269"/>
      <c r="AH10" s="269"/>
      <c r="AI10" s="269"/>
      <c r="AJ10" s="269"/>
      <c r="AK10" s="269"/>
      <c r="AL10" s="269"/>
      <c r="AM10" s="269"/>
      <c r="AN10" s="269"/>
      <c r="AO10" s="269"/>
      <c r="AP10" s="269"/>
      <c r="AQ10" s="269"/>
      <c r="AR10" s="269"/>
      <c r="AS10" s="269"/>
      <c r="AT10" s="261"/>
    </row>
    <row r="11" spans="1:46" s="31" customFormat="1" x14ac:dyDescent="0.35">
      <c r="A11" s="40"/>
      <c r="B11" s="43"/>
      <c r="C11" s="43"/>
      <c r="D11" s="43"/>
      <c r="E11" s="43"/>
      <c r="F11" s="43"/>
      <c r="G11" s="43"/>
      <c r="H11" s="43"/>
      <c r="I11" s="43"/>
      <c r="J11" s="33"/>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3"/>
    </row>
    <row r="12" spans="1:46" s="31" customFormat="1" ht="42" x14ac:dyDescent="0.35">
      <c r="A12" s="271" t="s">
        <v>156</v>
      </c>
      <c r="B12" s="272" t="s">
        <v>182</v>
      </c>
      <c r="C12" s="2"/>
      <c r="D12" s="272" t="s">
        <v>183</v>
      </c>
      <c r="E12" s="272" t="s">
        <v>184</v>
      </c>
      <c r="F12" s="273" t="s">
        <v>87</v>
      </c>
      <c r="G12" s="272" t="s">
        <v>185</v>
      </c>
      <c r="H12" s="274" t="s">
        <v>186</v>
      </c>
      <c r="I12" s="275" t="s">
        <v>187</v>
      </c>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76"/>
    </row>
    <row r="13" spans="1:46" outlineLevel="1" x14ac:dyDescent="0.35">
      <c r="A13" s="277"/>
      <c r="B13" s="278"/>
      <c r="C13" s="279"/>
      <c r="D13" s="280"/>
      <c r="E13" s="280"/>
      <c r="F13" s="280"/>
      <c r="G13" s="280"/>
      <c r="H13" s="280"/>
      <c r="I13" s="281"/>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261"/>
    </row>
    <row r="14" spans="1:46" outlineLevel="1" x14ac:dyDescent="0.35">
      <c r="A14" s="66">
        <v>1</v>
      </c>
      <c r="B14" s="282" t="str">
        <f>'Tab 4 - Infrastructure'!B12</f>
        <v>Belvedere Fire Station</v>
      </c>
      <c r="C14" s="283"/>
      <c r="D14" s="284">
        <f>'Tab 4 - Infrastructure'!D12</f>
        <v>27300000</v>
      </c>
      <c r="E14" s="46" t="s">
        <v>188</v>
      </c>
      <c r="F14" s="285">
        <f>'Tab 5 - Benefit Allocation'!H15</f>
        <v>0.95</v>
      </c>
      <c r="G14" s="284">
        <f t="shared" ref="G14:G21" si="0">D14*F14</f>
        <v>25935000</v>
      </c>
      <c r="H14" s="284">
        <f t="shared" ref="H14:H21" si="1">D14-G14</f>
        <v>1365000</v>
      </c>
      <c r="I14" s="286">
        <f>'Tab 4 - Infrastructure'!F12</f>
        <v>8</v>
      </c>
      <c r="J14" s="287"/>
      <c r="K14" s="288">
        <f t="shared" ref="K14:T21" si="2">IF($I14=K$2,$G14,0)*(1+$E$25)^K$2</f>
        <v>0</v>
      </c>
      <c r="L14" s="288">
        <f t="shared" si="2"/>
        <v>0</v>
      </c>
      <c r="M14" s="288">
        <f t="shared" si="2"/>
        <v>0</v>
      </c>
      <c r="N14" s="288">
        <f t="shared" si="2"/>
        <v>0</v>
      </c>
      <c r="O14" s="288">
        <f t="shared" si="2"/>
        <v>0</v>
      </c>
      <c r="P14" s="288">
        <f t="shared" si="2"/>
        <v>0</v>
      </c>
      <c r="Q14" s="288">
        <f t="shared" si="2"/>
        <v>0</v>
      </c>
      <c r="R14" s="288">
        <f t="shared" si="2"/>
        <v>34363192.561629228</v>
      </c>
      <c r="S14" s="288">
        <f t="shared" si="2"/>
        <v>0</v>
      </c>
      <c r="T14" s="288">
        <f t="shared" si="2"/>
        <v>0</v>
      </c>
      <c r="U14" s="288">
        <f t="shared" ref="U14:AD21" si="3">IF($I14=U$2,$G14,0)*(1+$E$25)^U$2</f>
        <v>0</v>
      </c>
      <c r="V14" s="288">
        <f t="shared" si="3"/>
        <v>0</v>
      </c>
      <c r="W14" s="288">
        <f t="shared" si="3"/>
        <v>0</v>
      </c>
      <c r="X14" s="288">
        <f t="shared" si="3"/>
        <v>0</v>
      </c>
      <c r="Y14" s="288">
        <f t="shared" si="3"/>
        <v>0</v>
      </c>
      <c r="Z14" s="288">
        <f t="shared" si="3"/>
        <v>0</v>
      </c>
      <c r="AA14" s="288">
        <f t="shared" si="3"/>
        <v>0</v>
      </c>
      <c r="AB14" s="288">
        <f t="shared" si="3"/>
        <v>0</v>
      </c>
      <c r="AC14" s="288">
        <f t="shared" si="3"/>
        <v>0</v>
      </c>
      <c r="AD14" s="288">
        <f t="shared" si="3"/>
        <v>0</v>
      </c>
      <c r="AE14" s="288">
        <f t="shared" ref="AE14:AS21" si="4">IF($I14=AE$2,$G14,0)*(1+$E$25)^AE$2</f>
        <v>0</v>
      </c>
      <c r="AF14" s="288">
        <f t="shared" si="4"/>
        <v>0</v>
      </c>
      <c r="AG14" s="288">
        <f t="shared" si="4"/>
        <v>0</v>
      </c>
      <c r="AH14" s="288">
        <f t="shared" si="4"/>
        <v>0</v>
      </c>
      <c r="AI14" s="288">
        <f t="shared" si="4"/>
        <v>0</v>
      </c>
      <c r="AJ14" s="288">
        <f t="shared" si="4"/>
        <v>0</v>
      </c>
      <c r="AK14" s="288">
        <f t="shared" si="4"/>
        <v>0</v>
      </c>
      <c r="AL14" s="288">
        <f t="shared" si="4"/>
        <v>0</v>
      </c>
      <c r="AM14" s="288">
        <f t="shared" si="4"/>
        <v>0</v>
      </c>
      <c r="AN14" s="288">
        <f t="shared" si="4"/>
        <v>0</v>
      </c>
      <c r="AO14" s="288">
        <f t="shared" si="4"/>
        <v>0</v>
      </c>
      <c r="AP14" s="288">
        <f t="shared" si="4"/>
        <v>0</v>
      </c>
      <c r="AQ14" s="288">
        <f t="shared" si="4"/>
        <v>0</v>
      </c>
      <c r="AR14" s="288">
        <f t="shared" si="4"/>
        <v>0</v>
      </c>
      <c r="AS14" s="288">
        <f t="shared" si="4"/>
        <v>0</v>
      </c>
      <c r="AT14" s="261"/>
    </row>
    <row r="15" spans="1:46" outlineLevel="1" x14ac:dyDescent="0.35">
      <c r="A15" s="66">
        <v>2</v>
      </c>
      <c r="B15" s="282" t="str">
        <f>'Tab 4 - Infrastructure'!B13</f>
        <v xml:space="preserve">Glacier Ridge Fire station </v>
      </c>
      <c r="C15" s="283"/>
      <c r="D15" s="284">
        <f>'Tab 4 - Infrastructure'!D13</f>
        <v>22100000</v>
      </c>
      <c r="E15" s="46" t="s">
        <v>188</v>
      </c>
      <c r="F15" s="285">
        <f>'Tab 5 - Benefit Allocation'!H16</f>
        <v>0.95</v>
      </c>
      <c r="G15" s="284">
        <f t="shared" si="0"/>
        <v>20995000</v>
      </c>
      <c r="H15" s="284">
        <f t="shared" si="1"/>
        <v>1105000</v>
      </c>
      <c r="I15" s="286">
        <f>'Tab 4 - Infrastructure'!F13</f>
        <v>22</v>
      </c>
      <c r="J15" s="287"/>
      <c r="K15" s="288">
        <f t="shared" si="2"/>
        <v>0</v>
      </c>
      <c r="L15" s="288">
        <f t="shared" si="2"/>
        <v>0</v>
      </c>
      <c r="M15" s="288">
        <f t="shared" si="2"/>
        <v>0</v>
      </c>
      <c r="N15" s="288">
        <f t="shared" si="2"/>
        <v>0</v>
      </c>
      <c r="O15" s="288">
        <f t="shared" si="2"/>
        <v>0</v>
      </c>
      <c r="P15" s="288">
        <f t="shared" si="2"/>
        <v>0</v>
      </c>
      <c r="Q15" s="288">
        <f t="shared" si="2"/>
        <v>0</v>
      </c>
      <c r="R15" s="288">
        <f t="shared" si="2"/>
        <v>0</v>
      </c>
      <c r="S15" s="288">
        <f t="shared" si="2"/>
        <v>0</v>
      </c>
      <c r="T15" s="288">
        <f t="shared" si="2"/>
        <v>0</v>
      </c>
      <c r="U15" s="288">
        <f t="shared" si="3"/>
        <v>0</v>
      </c>
      <c r="V15" s="288">
        <f t="shared" si="3"/>
        <v>0</v>
      </c>
      <c r="W15" s="288">
        <f t="shared" si="3"/>
        <v>0</v>
      </c>
      <c r="X15" s="288">
        <f t="shared" si="3"/>
        <v>0</v>
      </c>
      <c r="Y15" s="288">
        <f t="shared" si="3"/>
        <v>0</v>
      </c>
      <c r="Z15" s="288">
        <f t="shared" si="3"/>
        <v>0</v>
      </c>
      <c r="AA15" s="288">
        <f t="shared" si="3"/>
        <v>0</v>
      </c>
      <c r="AB15" s="288">
        <f t="shared" si="3"/>
        <v>0</v>
      </c>
      <c r="AC15" s="288">
        <f t="shared" si="3"/>
        <v>0</v>
      </c>
      <c r="AD15" s="288">
        <f t="shared" si="3"/>
        <v>0</v>
      </c>
      <c r="AE15" s="288">
        <f t="shared" si="4"/>
        <v>0</v>
      </c>
      <c r="AF15" s="288">
        <f t="shared" si="4"/>
        <v>45518278.215188041</v>
      </c>
      <c r="AG15" s="288">
        <f t="shared" si="4"/>
        <v>0</v>
      </c>
      <c r="AH15" s="288">
        <f t="shared" si="4"/>
        <v>0</v>
      </c>
      <c r="AI15" s="288">
        <f t="shared" si="4"/>
        <v>0</v>
      </c>
      <c r="AJ15" s="288">
        <f t="shared" si="4"/>
        <v>0</v>
      </c>
      <c r="AK15" s="288">
        <f t="shared" si="4"/>
        <v>0</v>
      </c>
      <c r="AL15" s="288">
        <f t="shared" si="4"/>
        <v>0</v>
      </c>
      <c r="AM15" s="288">
        <f t="shared" si="4"/>
        <v>0</v>
      </c>
      <c r="AN15" s="288">
        <f t="shared" si="4"/>
        <v>0</v>
      </c>
      <c r="AO15" s="288">
        <f t="shared" si="4"/>
        <v>0</v>
      </c>
      <c r="AP15" s="288">
        <f t="shared" si="4"/>
        <v>0</v>
      </c>
      <c r="AQ15" s="288">
        <f t="shared" si="4"/>
        <v>0</v>
      </c>
      <c r="AR15" s="288">
        <f t="shared" si="4"/>
        <v>0</v>
      </c>
      <c r="AS15" s="288">
        <f t="shared" si="4"/>
        <v>0</v>
      </c>
      <c r="AT15" s="261"/>
    </row>
    <row r="16" spans="1:46" outlineLevel="1" x14ac:dyDescent="0.35">
      <c r="A16" s="66">
        <v>3</v>
      </c>
      <c r="B16" s="282" t="str">
        <f>'Tab 4 - Infrastructure'!B14</f>
        <v xml:space="preserve">Nose Creek Fire Station </v>
      </c>
      <c r="C16" s="46"/>
      <c r="D16" s="284">
        <f>'Tab 4 - Infrastructure'!D14</f>
        <v>17750000</v>
      </c>
      <c r="E16" s="46" t="s">
        <v>188</v>
      </c>
      <c r="F16" s="285">
        <f>'Tab 5 - Benefit Allocation'!H17</f>
        <v>0.99</v>
      </c>
      <c r="G16" s="284">
        <f t="shared" si="0"/>
        <v>17572500</v>
      </c>
      <c r="H16" s="284">
        <f t="shared" si="1"/>
        <v>177500</v>
      </c>
      <c r="I16" s="286">
        <f>'Tab 4 - Infrastructure'!F14</f>
        <v>20</v>
      </c>
      <c r="J16" s="287"/>
      <c r="K16" s="288">
        <f t="shared" si="2"/>
        <v>0</v>
      </c>
      <c r="L16" s="288">
        <f t="shared" si="2"/>
        <v>0</v>
      </c>
      <c r="M16" s="288">
        <f t="shared" si="2"/>
        <v>0</v>
      </c>
      <c r="N16" s="288">
        <f t="shared" si="2"/>
        <v>0</v>
      </c>
      <c r="O16" s="288">
        <f t="shared" si="2"/>
        <v>0</v>
      </c>
      <c r="P16" s="288">
        <f t="shared" si="2"/>
        <v>0</v>
      </c>
      <c r="Q16" s="288">
        <f t="shared" si="2"/>
        <v>0</v>
      </c>
      <c r="R16" s="288">
        <f t="shared" si="2"/>
        <v>0</v>
      </c>
      <c r="S16" s="288">
        <f t="shared" si="2"/>
        <v>0</v>
      </c>
      <c r="T16" s="288">
        <f t="shared" si="2"/>
        <v>0</v>
      </c>
      <c r="U16" s="288">
        <f t="shared" si="3"/>
        <v>0</v>
      </c>
      <c r="V16" s="288">
        <f t="shared" si="3"/>
        <v>0</v>
      </c>
      <c r="W16" s="288">
        <f t="shared" si="3"/>
        <v>0</v>
      </c>
      <c r="X16" s="288">
        <f t="shared" si="3"/>
        <v>0</v>
      </c>
      <c r="Y16" s="288">
        <f t="shared" si="3"/>
        <v>0</v>
      </c>
      <c r="Z16" s="288">
        <f t="shared" si="3"/>
        <v>0</v>
      </c>
      <c r="AA16" s="288">
        <f t="shared" si="3"/>
        <v>0</v>
      </c>
      <c r="AB16" s="288">
        <f t="shared" si="3"/>
        <v>0</v>
      </c>
      <c r="AC16" s="288">
        <f t="shared" si="3"/>
        <v>0</v>
      </c>
      <c r="AD16" s="288">
        <f t="shared" si="3"/>
        <v>35510082.854372606</v>
      </c>
      <c r="AE16" s="288">
        <f t="shared" si="4"/>
        <v>0</v>
      </c>
      <c r="AF16" s="288">
        <f t="shared" si="4"/>
        <v>0</v>
      </c>
      <c r="AG16" s="288">
        <f t="shared" si="4"/>
        <v>0</v>
      </c>
      <c r="AH16" s="288">
        <f t="shared" si="4"/>
        <v>0</v>
      </c>
      <c r="AI16" s="288">
        <f t="shared" si="4"/>
        <v>0</v>
      </c>
      <c r="AJ16" s="288">
        <f t="shared" si="4"/>
        <v>0</v>
      </c>
      <c r="AK16" s="288">
        <f t="shared" si="4"/>
        <v>0</v>
      </c>
      <c r="AL16" s="288">
        <f t="shared" si="4"/>
        <v>0</v>
      </c>
      <c r="AM16" s="288">
        <f t="shared" si="4"/>
        <v>0</v>
      </c>
      <c r="AN16" s="288">
        <f t="shared" si="4"/>
        <v>0</v>
      </c>
      <c r="AO16" s="288">
        <f t="shared" si="4"/>
        <v>0</v>
      </c>
      <c r="AP16" s="288">
        <f t="shared" si="4"/>
        <v>0</v>
      </c>
      <c r="AQ16" s="288">
        <f t="shared" si="4"/>
        <v>0</v>
      </c>
      <c r="AR16" s="288">
        <f t="shared" si="4"/>
        <v>0</v>
      </c>
      <c r="AS16" s="288">
        <f t="shared" si="4"/>
        <v>0</v>
      </c>
      <c r="AT16" s="261"/>
    </row>
    <row r="17" spans="1:46" outlineLevel="1" x14ac:dyDescent="0.35">
      <c r="A17" s="66">
        <v>4</v>
      </c>
      <c r="B17" s="282" t="str">
        <f>'Tab 4 - Infrastructure'!B15</f>
        <v xml:space="preserve">Providence Fire Station </v>
      </c>
      <c r="C17" s="46"/>
      <c r="D17" s="284">
        <f>'Tab 4 - Infrastructure'!D15</f>
        <v>17750000</v>
      </c>
      <c r="E17" s="46" t="s">
        <v>188</v>
      </c>
      <c r="F17" s="285">
        <f>'Tab 5 - Benefit Allocation'!H18</f>
        <v>0.93</v>
      </c>
      <c r="G17" s="284">
        <f t="shared" si="0"/>
        <v>16507500</v>
      </c>
      <c r="H17" s="284">
        <f t="shared" si="1"/>
        <v>1242500</v>
      </c>
      <c r="I17" s="286">
        <f>'Tab 4 - Infrastructure'!F15</f>
        <v>17</v>
      </c>
      <c r="J17" s="287"/>
      <c r="K17" s="288">
        <f t="shared" si="2"/>
        <v>0</v>
      </c>
      <c r="L17" s="288">
        <f t="shared" si="2"/>
        <v>0</v>
      </c>
      <c r="M17" s="288">
        <f t="shared" si="2"/>
        <v>0</v>
      </c>
      <c r="N17" s="288">
        <f t="shared" si="2"/>
        <v>0</v>
      </c>
      <c r="O17" s="288">
        <f t="shared" si="2"/>
        <v>0</v>
      </c>
      <c r="P17" s="288">
        <f t="shared" si="2"/>
        <v>0</v>
      </c>
      <c r="Q17" s="288">
        <f t="shared" si="2"/>
        <v>0</v>
      </c>
      <c r="R17" s="288">
        <f t="shared" si="2"/>
        <v>0</v>
      </c>
      <c r="S17" s="288">
        <f t="shared" si="2"/>
        <v>0</v>
      </c>
      <c r="T17" s="288">
        <f t="shared" si="2"/>
        <v>0</v>
      </c>
      <c r="U17" s="288">
        <f t="shared" si="3"/>
        <v>0</v>
      </c>
      <c r="V17" s="288">
        <f t="shared" si="3"/>
        <v>0</v>
      </c>
      <c r="W17" s="288">
        <f t="shared" si="3"/>
        <v>0</v>
      </c>
      <c r="X17" s="288">
        <f t="shared" si="3"/>
        <v>0</v>
      </c>
      <c r="Y17" s="288">
        <f t="shared" si="3"/>
        <v>0</v>
      </c>
      <c r="Z17" s="288">
        <f t="shared" si="3"/>
        <v>0</v>
      </c>
      <c r="AA17" s="288">
        <f t="shared" si="3"/>
        <v>30017306.486625578</v>
      </c>
      <c r="AB17" s="288">
        <f t="shared" si="3"/>
        <v>0</v>
      </c>
      <c r="AC17" s="288">
        <f t="shared" si="3"/>
        <v>0</v>
      </c>
      <c r="AD17" s="288">
        <f t="shared" si="3"/>
        <v>0</v>
      </c>
      <c r="AE17" s="288">
        <f t="shared" si="4"/>
        <v>0</v>
      </c>
      <c r="AF17" s="288">
        <f t="shared" si="4"/>
        <v>0</v>
      </c>
      <c r="AG17" s="288">
        <f t="shared" si="4"/>
        <v>0</v>
      </c>
      <c r="AH17" s="288">
        <f t="shared" si="4"/>
        <v>0</v>
      </c>
      <c r="AI17" s="288">
        <f t="shared" si="4"/>
        <v>0</v>
      </c>
      <c r="AJ17" s="288">
        <f t="shared" si="4"/>
        <v>0</v>
      </c>
      <c r="AK17" s="288">
        <f t="shared" si="4"/>
        <v>0</v>
      </c>
      <c r="AL17" s="288">
        <f t="shared" si="4"/>
        <v>0</v>
      </c>
      <c r="AM17" s="288">
        <f t="shared" si="4"/>
        <v>0</v>
      </c>
      <c r="AN17" s="288">
        <f t="shared" si="4"/>
        <v>0</v>
      </c>
      <c r="AO17" s="288">
        <f t="shared" si="4"/>
        <v>0</v>
      </c>
      <c r="AP17" s="288">
        <f t="shared" si="4"/>
        <v>0</v>
      </c>
      <c r="AQ17" s="288">
        <f t="shared" si="4"/>
        <v>0</v>
      </c>
      <c r="AR17" s="288">
        <f t="shared" si="4"/>
        <v>0</v>
      </c>
      <c r="AS17" s="288">
        <f t="shared" si="4"/>
        <v>0</v>
      </c>
      <c r="AT17" s="261"/>
    </row>
    <row r="18" spans="1:46" outlineLevel="1" x14ac:dyDescent="0.35">
      <c r="A18" s="66">
        <v>5</v>
      </c>
      <c r="B18" s="282" t="str">
        <f>'Tab 4 - Infrastructure'!B16</f>
        <v xml:space="preserve">Rangeview Fire Station </v>
      </c>
      <c r="C18" s="46"/>
      <c r="D18" s="284">
        <f>'Tab 4 - Infrastructure'!D16</f>
        <v>22100000</v>
      </c>
      <c r="E18" s="46" t="s">
        <v>188</v>
      </c>
      <c r="F18" s="285">
        <f>'Tab 5 - Benefit Allocation'!H19</f>
        <v>0.8</v>
      </c>
      <c r="G18" s="284">
        <f t="shared" si="0"/>
        <v>17680000</v>
      </c>
      <c r="H18" s="284">
        <f t="shared" si="1"/>
        <v>4420000</v>
      </c>
      <c r="I18" s="286">
        <f>'Tab 4 - Infrastructure'!F16</f>
        <v>14</v>
      </c>
      <c r="J18" s="287"/>
      <c r="K18" s="288">
        <f t="shared" si="2"/>
        <v>0</v>
      </c>
      <c r="L18" s="288">
        <f t="shared" si="2"/>
        <v>0</v>
      </c>
      <c r="M18" s="288">
        <f t="shared" si="2"/>
        <v>0</v>
      </c>
      <c r="N18" s="288">
        <f t="shared" si="2"/>
        <v>0</v>
      </c>
      <c r="O18" s="288">
        <f t="shared" si="2"/>
        <v>0</v>
      </c>
      <c r="P18" s="288">
        <f t="shared" si="2"/>
        <v>0</v>
      </c>
      <c r="Q18" s="288">
        <f t="shared" si="2"/>
        <v>0</v>
      </c>
      <c r="R18" s="288">
        <f t="shared" si="2"/>
        <v>0</v>
      </c>
      <c r="S18" s="288">
        <f t="shared" si="2"/>
        <v>0</v>
      </c>
      <c r="T18" s="288">
        <f t="shared" si="2"/>
        <v>0</v>
      </c>
      <c r="U18" s="288">
        <f t="shared" si="3"/>
        <v>0</v>
      </c>
      <c r="V18" s="288">
        <f t="shared" si="3"/>
        <v>0</v>
      </c>
      <c r="W18" s="288">
        <f t="shared" si="3"/>
        <v>0</v>
      </c>
      <c r="X18" s="288">
        <f t="shared" si="3"/>
        <v>28929768.223275162</v>
      </c>
      <c r="Y18" s="288">
        <f t="shared" si="3"/>
        <v>0</v>
      </c>
      <c r="Z18" s="288">
        <f t="shared" si="3"/>
        <v>0</v>
      </c>
      <c r="AA18" s="288">
        <f t="shared" si="3"/>
        <v>0</v>
      </c>
      <c r="AB18" s="288">
        <f t="shared" si="3"/>
        <v>0</v>
      </c>
      <c r="AC18" s="288">
        <f t="shared" si="3"/>
        <v>0</v>
      </c>
      <c r="AD18" s="288">
        <f t="shared" si="3"/>
        <v>0</v>
      </c>
      <c r="AE18" s="288">
        <f t="shared" si="4"/>
        <v>0</v>
      </c>
      <c r="AF18" s="288">
        <f t="shared" si="4"/>
        <v>0</v>
      </c>
      <c r="AG18" s="288">
        <f t="shared" si="4"/>
        <v>0</v>
      </c>
      <c r="AH18" s="288">
        <f t="shared" si="4"/>
        <v>0</v>
      </c>
      <c r="AI18" s="288">
        <f t="shared" si="4"/>
        <v>0</v>
      </c>
      <c r="AJ18" s="288">
        <f t="shared" si="4"/>
        <v>0</v>
      </c>
      <c r="AK18" s="288">
        <f t="shared" si="4"/>
        <v>0</v>
      </c>
      <c r="AL18" s="288">
        <f t="shared" si="4"/>
        <v>0</v>
      </c>
      <c r="AM18" s="288">
        <f t="shared" si="4"/>
        <v>0</v>
      </c>
      <c r="AN18" s="288">
        <f t="shared" si="4"/>
        <v>0</v>
      </c>
      <c r="AO18" s="288">
        <f t="shared" si="4"/>
        <v>0</v>
      </c>
      <c r="AP18" s="288">
        <f t="shared" si="4"/>
        <v>0</v>
      </c>
      <c r="AQ18" s="288">
        <f t="shared" si="4"/>
        <v>0</v>
      </c>
      <c r="AR18" s="288">
        <f t="shared" si="4"/>
        <v>0</v>
      </c>
      <c r="AS18" s="288">
        <f t="shared" si="4"/>
        <v>0</v>
      </c>
      <c r="AT18" s="261"/>
    </row>
    <row r="19" spans="1:46" outlineLevel="1" x14ac:dyDescent="0.35">
      <c r="A19" s="66">
        <v>6</v>
      </c>
      <c r="B19" s="282" t="str">
        <f>'Tab 4 - Infrastructure'!B17</f>
        <v>South Shepard Fire Station</v>
      </c>
      <c r="C19" s="46"/>
      <c r="D19" s="284">
        <f>'Tab 4 - Infrastructure'!D17</f>
        <v>17750000</v>
      </c>
      <c r="E19" s="46" t="s">
        <v>188</v>
      </c>
      <c r="F19" s="285">
        <f>'Tab 5 - Benefit Allocation'!H20</f>
        <v>0.97</v>
      </c>
      <c r="G19" s="284">
        <f t="shared" si="0"/>
        <v>17217500</v>
      </c>
      <c r="H19" s="284">
        <f t="shared" si="1"/>
        <v>532500</v>
      </c>
      <c r="I19" s="286">
        <f>'Tab 4 - Infrastructure'!F17</f>
        <v>10</v>
      </c>
      <c r="J19" s="287"/>
      <c r="K19" s="288">
        <f t="shared" si="2"/>
        <v>0</v>
      </c>
      <c r="L19" s="288">
        <f t="shared" si="2"/>
        <v>0</v>
      </c>
      <c r="M19" s="288">
        <f t="shared" si="2"/>
        <v>0</v>
      </c>
      <c r="N19" s="288">
        <f t="shared" si="2"/>
        <v>0</v>
      </c>
      <c r="O19" s="288">
        <f t="shared" si="2"/>
        <v>0</v>
      </c>
      <c r="P19" s="288">
        <f t="shared" si="2"/>
        <v>0</v>
      </c>
      <c r="Q19" s="288">
        <f t="shared" si="2"/>
        <v>0</v>
      </c>
      <c r="R19" s="288">
        <f t="shared" si="2"/>
        <v>0</v>
      </c>
      <c r="S19" s="288">
        <f t="shared" si="2"/>
        <v>0</v>
      </c>
      <c r="T19" s="288">
        <f t="shared" si="2"/>
        <v>24475363.948322278</v>
      </c>
      <c r="U19" s="288">
        <f t="shared" si="3"/>
        <v>0</v>
      </c>
      <c r="V19" s="288">
        <f t="shared" si="3"/>
        <v>0</v>
      </c>
      <c r="W19" s="288">
        <f t="shared" si="3"/>
        <v>0</v>
      </c>
      <c r="X19" s="288">
        <f t="shared" si="3"/>
        <v>0</v>
      </c>
      <c r="Y19" s="288">
        <f t="shared" si="3"/>
        <v>0</v>
      </c>
      <c r="Z19" s="288">
        <f t="shared" si="3"/>
        <v>0</v>
      </c>
      <c r="AA19" s="288">
        <f t="shared" si="3"/>
        <v>0</v>
      </c>
      <c r="AB19" s="288">
        <f t="shared" si="3"/>
        <v>0</v>
      </c>
      <c r="AC19" s="288">
        <f t="shared" si="3"/>
        <v>0</v>
      </c>
      <c r="AD19" s="288">
        <f t="shared" si="3"/>
        <v>0</v>
      </c>
      <c r="AE19" s="288">
        <f t="shared" si="4"/>
        <v>0</v>
      </c>
      <c r="AF19" s="288">
        <f t="shared" si="4"/>
        <v>0</v>
      </c>
      <c r="AG19" s="288">
        <f t="shared" si="4"/>
        <v>0</v>
      </c>
      <c r="AH19" s="288">
        <f t="shared" si="4"/>
        <v>0</v>
      </c>
      <c r="AI19" s="288">
        <f t="shared" si="4"/>
        <v>0</v>
      </c>
      <c r="AJ19" s="288">
        <f t="shared" si="4"/>
        <v>0</v>
      </c>
      <c r="AK19" s="288">
        <f t="shared" si="4"/>
        <v>0</v>
      </c>
      <c r="AL19" s="288">
        <f t="shared" si="4"/>
        <v>0</v>
      </c>
      <c r="AM19" s="288">
        <f t="shared" si="4"/>
        <v>0</v>
      </c>
      <c r="AN19" s="288">
        <f t="shared" si="4"/>
        <v>0</v>
      </c>
      <c r="AO19" s="288">
        <f t="shared" si="4"/>
        <v>0</v>
      </c>
      <c r="AP19" s="288">
        <f t="shared" si="4"/>
        <v>0</v>
      </c>
      <c r="AQ19" s="288">
        <f t="shared" si="4"/>
        <v>0</v>
      </c>
      <c r="AR19" s="288">
        <f t="shared" si="4"/>
        <v>0</v>
      </c>
      <c r="AS19" s="288">
        <f t="shared" si="4"/>
        <v>0</v>
      </c>
      <c r="AT19" s="261"/>
    </row>
    <row r="20" spans="1:46" outlineLevel="1" x14ac:dyDescent="0.35">
      <c r="A20" s="66">
        <v>7</v>
      </c>
      <c r="B20" s="282" t="str">
        <f>'Tab 4 - Infrastructure'!B18</f>
        <v xml:space="preserve">West View Fire Station </v>
      </c>
      <c r="C20" s="283"/>
      <c r="D20" s="284">
        <f>'Tab 4 - Infrastructure'!D18</f>
        <v>17750000</v>
      </c>
      <c r="E20" s="46" t="s">
        <v>188</v>
      </c>
      <c r="F20" s="285">
        <f>'Tab 5 - Benefit Allocation'!H21</f>
        <v>0.99</v>
      </c>
      <c r="G20" s="284">
        <f t="shared" si="0"/>
        <v>17572500</v>
      </c>
      <c r="H20" s="284">
        <f t="shared" si="1"/>
        <v>177500</v>
      </c>
      <c r="I20" s="286">
        <f>'Tab 4 - Infrastructure'!F18</f>
        <v>25</v>
      </c>
      <c r="J20" s="287"/>
      <c r="K20" s="288">
        <f t="shared" si="2"/>
        <v>0</v>
      </c>
      <c r="L20" s="288">
        <f t="shared" si="2"/>
        <v>0</v>
      </c>
      <c r="M20" s="288">
        <f t="shared" si="2"/>
        <v>0</v>
      </c>
      <c r="N20" s="288">
        <f t="shared" si="2"/>
        <v>0</v>
      </c>
      <c r="O20" s="288">
        <f t="shared" si="2"/>
        <v>0</v>
      </c>
      <c r="P20" s="288">
        <f t="shared" si="2"/>
        <v>0</v>
      </c>
      <c r="Q20" s="288">
        <f t="shared" si="2"/>
        <v>0</v>
      </c>
      <c r="R20" s="288">
        <f t="shared" si="2"/>
        <v>0</v>
      </c>
      <c r="S20" s="288">
        <f t="shared" si="2"/>
        <v>0</v>
      </c>
      <c r="T20" s="288">
        <f t="shared" si="2"/>
        <v>0</v>
      </c>
      <c r="U20" s="288">
        <f t="shared" si="3"/>
        <v>0</v>
      </c>
      <c r="V20" s="288">
        <f t="shared" si="3"/>
        <v>0</v>
      </c>
      <c r="W20" s="288">
        <f t="shared" si="3"/>
        <v>0</v>
      </c>
      <c r="X20" s="288">
        <f t="shared" si="3"/>
        <v>0</v>
      </c>
      <c r="Y20" s="288">
        <f t="shared" si="3"/>
        <v>0</v>
      </c>
      <c r="Z20" s="288">
        <f t="shared" si="3"/>
        <v>0</v>
      </c>
      <c r="AA20" s="288">
        <f t="shared" si="3"/>
        <v>0</v>
      </c>
      <c r="AB20" s="288">
        <f t="shared" si="3"/>
        <v>0</v>
      </c>
      <c r="AC20" s="288">
        <f t="shared" si="3"/>
        <v>0</v>
      </c>
      <c r="AD20" s="288">
        <f t="shared" si="3"/>
        <v>0</v>
      </c>
      <c r="AE20" s="288">
        <f t="shared" si="4"/>
        <v>0</v>
      </c>
      <c r="AF20" s="288">
        <f t="shared" si="4"/>
        <v>0</v>
      </c>
      <c r="AG20" s="288">
        <f t="shared" si="4"/>
        <v>0</v>
      </c>
      <c r="AH20" s="288">
        <f t="shared" si="4"/>
        <v>0</v>
      </c>
      <c r="AI20" s="288">
        <f t="shared" si="4"/>
        <v>42338085.832925707</v>
      </c>
      <c r="AJ20" s="288">
        <f t="shared" si="4"/>
        <v>0</v>
      </c>
      <c r="AK20" s="288">
        <f t="shared" si="4"/>
        <v>0</v>
      </c>
      <c r="AL20" s="288">
        <f t="shared" si="4"/>
        <v>0</v>
      </c>
      <c r="AM20" s="288">
        <f t="shared" si="4"/>
        <v>0</v>
      </c>
      <c r="AN20" s="288">
        <f t="shared" si="4"/>
        <v>0</v>
      </c>
      <c r="AO20" s="288">
        <f t="shared" si="4"/>
        <v>0</v>
      </c>
      <c r="AP20" s="288">
        <f t="shared" si="4"/>
        <v>0</v>
      </c>
      <c r="AQ20" s="288">
        <f t="shared" si="4"/>
        <v>0</v>
      </c>
      <c r="AR20" s="288">
        <f t="shared" si="4"/>
        <v>0</v>
      </c>
      <c r="AS20" s="288">
        <f t="shared" si="4"/>
        <v>0</v>
      </c>
      <c r="AT20" s="261"/>
    </row>
    <row r="21" spans="1:46" outlineLevel="1" x14ac:dyDescent="0.35">
      <c r="A21" s="66">
        <v>8</v>
      </c>
      <c r="B21" s="282" t="str">
        <f>'Tab 4 - Infrastructure'!B19</f>
        <v>Shepard Industrial Station</v>
      </c>
      <c r="C21" s="283"/>
      <c r="D21" s="284">
        <f>'Tab 4 - Infrastructure'!D19</f>
        <v>17750000</v>
      </c>
      <c r="E21" s="46" t="s">
        <v>188</v>
      </c>
      <c r="F21" s="285">
        <f>'Tab 5 - Benefit Allocation'!H22</f>
        <v>0.79</v>
      </c>
      <c r="G21" s="284">
        <f t="shared" si="0"/>
        <v>14022500</v>
      </c>
      <c r="H21" s="284">
        <f t="shared" si="1"/>
        <v>3727500</v>
      </c>
      <c r="I21" s="286">
        <f>'Tab 4 - Infrastructure'!F19</f>
        <v>30</v>
      </c>
      <c r="J21" s="287"/>
      <c r="K21" s="288">
        <f t="shared" si="2"/>
        <v>0</v>
      </c>
      <c r="L21" s="288">
        <f t="shared" si="2"/>
        <v>0</v>
      </c>
      <c r="M21" s="288">
        <f t="shared" si="2"/>
        <v>0</v>
      </c>
      <c r="N21" s="288">
        <f t="shared" si="2"/>
        <v>0</v>
      </c>
      <c r="O21" s="288">
        <f t="shared" si="2"/>
        <v>0</v>
      </c>
      <c r="P21" s="288">
        <f t="shared" si="2"/>
        <v>0</v>
      </c>
      <c r="Q21" s="288">
        <f t="shared" si="2"/>
        <v>0</v>
      </c>
      <c r="R21" s="288">
        <f t="shared" si="2"/>
        <v>0</v>
      </c>
      <c r="S21" s="288">
        <f t="shared" si="2"/>
        <v>0</v>
      </c>
      <c r="T21" s="288">
        <f t="shared" si="2"/>
        <v>0</v>
      </c>
      <c r="U21" s="288">
        <f t="shared" si="3"/>
        <v>0</v>
      </c>
      <c r="V21" s="288">
        <f t="shared" si="3"/>
        <v>0</v>
      </c>
      <c r="W21" s="288">
        <f t="shared" si="3"/>
        <v>0</v>
      </c>
      <c r="X21" s="288">
        <f t="shared" si="3"/>
        <v>0</v>
      </c>
      <c r="Y21" s="288">
        <f t="shared" si="3"/>
        <v>0</v>
      </c>
      <c r="Z21" s="288">
        <f t="shared" si="3"/>
        <v>0</v>
      </c>
      <c r="AA21" s="288">
        <f t="shared" si="3"/>
        <v>0</v>
      </c>
      <c r="AB21" s="288">
        <f t="shared" si="3"/>
        <v>0</v>
      </c>
      <c r="AC21" s="288">
        <f t="shared" si="3"/>
        <v>0</v>
      </c>
      <c r="AD21" s="288">
        <f t="shared" si="3"/>
        <v>0</v>
      </c>
      <c r="AE21" s="288">
        <f t="shared" si="4"/>
        <v>0</v>
      </c>
      <c r="AF21" s="288">
        <f t="shared" si="4"/>
        <v>0</v>
      </c>
      <c r="AG21" s="288">
        <f t="shared" si="4"/>
        <v>0</v>
      </c>
      <c r="AH21" s="288">
        <f t="shared" si="4"/>
        <v>0</v>
      </c>
      <c r="AI21" s="288">
        <f t="shared" si="4"/>
        <v>0</v>
      </c>
      <c r="AJ21" s="288">
        <f t="shared" si="4"/>
        <v>0</v>
      </c>
      <c r="AK21" s="288">
        <f t="shared" si="4"/>
        <v>0</v>
      </c>
      <c r="AL21" s="288">
        <f t="shared" si="4"/>
        <v>0</v>
      </c>
      <c r="AM21" s="288">
        <f t="shared" si="4"/>
        <v>0</v>
      </c>
      <c r="AN21" s="288">
        <f t="shared" si="4"/>
        <v>40281223.111892566</v>
      </c>
      <c r="AO21" s="288">
        <f t="shared" si="4"/>
        <v>0</v>
      </c>
      <c r="AP21" s="288">
        <f t="shared" si="4"/>
        <v>0</v>
      </c>
      <c r="AQ21" s="288">
        <f t="shared" si="4"/>
        <v>0</v>
      </c>
      <c r="AR21" s="288">
        <f t="shared" si="4"/>
        <v>0</v>
      </c>
      <c r="AS21" s="288">
        <f t="shared" si="4"/>
        <v>0</v>
      </c>
      <c r="AT21" s="261"/>
    </row>
    <row r="22" spans="1:46" s="31" customFormat="1" outlineLevel="2" x14ac:dyDescent="0.35">
      <c r="A22" s="2"/>
      <c r="B22" s="289"/>
      <c r="C22" s="289"/>
      <c r="D22" s="2"/>
      <c r="E22" s="2"/>
      <c r="F22" s="290"/>
      <c r="G22" s="290"/>
      <c r="H22" s="290"/>
      <c r="I22" s="290"/>
      <c r="J22" s="276"/>
      <c r="K22" s="276"/>
      <c r="L22" s="276"/>
      <c r="M22" s="276"/>
      <c r="N22" s="276"/>
      <c r="O22" s="276"/>
      <c r="P22" s="276"/>
      <c r="Q22" s="276"/>
      <c r="R22" s="276"/>
      <c r="S22" s="276"/>
      <c r="T22" s="276"/>
      <c r="U22" s="276"/>
      <c r="V22" s="276"/>
      <c r="W22" s="276"/>
      <c r="X22" s="276"/>
      <c r="Y22" s="276"/>
      <c r="Z22" s="276"/>
      <c r="AA22" s="276"/>
      <c r="AB22" s="276"/>
      <c r="AC22" s="276"/>
      <c r="AD22" s="276"/>
      <c r="AE22" s="276"/>
      <c r="AF22" s="276"/>
      <c r="AG22" s="276"/>
      <c r="AH22" s="276"/>
      <c r="AI22" s="276"/>
      <c r="AJ22" s="276"/>
      <c r="AK22" s="276"/>
      <c r="AL22" s="276"/>
      <c r="AM22" s="276"/>
      <c r="AN22" s="276"/>
      <c r="AO22" s="276"/>
      <c r="AP22" s="276"/>
      <c r="AQ22" s="276"/>
      <c r="AR22" s="276"/>
      <c r="AS22" s="276"/>
      <c r="AT22" s="276"/>
    </row>
    <row r="23" spans="1:46" s="31" customFormat="1" x14ac:dyDescent="0.35">
      <c r="A23" s="2"/>
      <c r="B23" s="291"/>
      <c r="C23" s="291"/>
      <c r="D23" s="291"/>
      <c r="E23" s="291"/>
      <c r="F23" s="291"/>
      <c r="G23" s="291"/>
      <c r="H23" s="2"/>
      <c r="I23" s="44"/>
      <c r="J23" s="292"/>
      <c r="K23" s="292"/>
      <c r="L23" s="292"/>
      <c r="M23" s="292"/>
      <c r="N23" s="292"/>
      <c r="O23" s="292"/>
      <c r="P23" s="292"/>
      <c r="Q23" s="292"/>
      <c r="R23" s="292"/>
      <c r="S23" s="292"/>
      <c r="T23" s="292"/>
      <c r="U23" s="292"/>
      <c r="V23" s="292"/>
      <c r="W23" s="292"/>
      <c r="X23" s="292"/>
      <c r="Y23" s="292"/>
      <c r="Z23" s="292"/>
      <c r="AA23" s="292"/>
      <c r="AB23" s="292"/>
      <c r="AC23" s="292"/>
      <c r="AD23" s="292"/>
      <c r="AE23" s="292"/>
      <c r="AF23" s="292"/>
      <c r="AG23" s="292"/>
      <c r="AH23" s="292"/>
      <c r="AI23" s="292"/>
      <c r="AJ23" s="292"/>
      <c r="AK23" s="292"/>
      <c r="AL23" s="292"/>
      <c r="AM23" s="292"/>
      <c r="AN23" s="292"/>
      <c r="AO23" s="293"/>
      <c r="AP23" s="293"/>
      <c r="AQ23" s="293"/>
      <c r="AR23" s="293"/>
      <c r="AS23" s="293"/>
      <c r="AT23" s="276"/>
    </row>
    <row r="24" spans="1:46" ht="15.75" customHeight="1" thickBot="1" x14ac:dyDescent="0.4">
      <c r="A24" s="2"/>
      <c r="B24" s="425" t="s">
        <v>189</v>
      </c>
      <c r="C24" s="426"/>
      <c r="D24" s="426"/>
      <c r="E24" s="427"/>
      <c r="F24" s="2"/>
      <c r="G24" s="2"/>
      <c r="H24" s="2"/>
      <c r="I24" s="2"/>
      <c r="J24" s="46"/>
      <c r="K24" s="46"/>
      <c r="L24" s="46"/>
      <c r="M24" s="46"/>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61"/>
    </row>
    <row r="25" spans="1:46" ht="15.75" customHeight="1" thickBot="1" x14ac:dyDescent="0.4">
      <c r="A25" s="2"/>
      <c r="B25" s="418" t="s">
        <v>279</v>
      </c>
      <c r="C25" s="419"/>
      <c r="D25" s="294" t="s">
        <v>32</v>
      </c>
      <c r="E25" s="295">
        <v>3.5799999999999998E-2</v>
      </c>
      <c r="F25" s="2"/>
      <c r="G25" s="296"/>
      <c r="H25" s="297" t="s">
        <v>190</v>
      </c>
      <c r="I25" s="298">
        <f>SUM(L25:AS25)</f>
        <v>281433301.23423111</v>
      </c>
      <c r="J25" s="299">
        <f t="shared" ref="J25:AS25" si="5">SUM(J14:J22)</f>
        <v>0</v>
      </c>
      <c r="K25" s="300">
        <f t="shared" si="5"/>
        <v>0</v>
      </c>
      <c r="L25" s="300">
        <f t="shared" si="5"/>
        <v>0</v>
      </c>
      <c r="M25" s="300">
        <f t="shared" si="5"/>
        <v>0</v>
      </c>
      <c r="N25" s="300">
        <f t="shared" si="5"/>
        <v>0</v>
      </c>
      <c r="O25" s="300">
        <f t="shared" si="5"/>
        <v>0</v>
      </c>
      <c r="P25" s="301">
        <f t="shared" si="5"/>
        <v>0</v>
      </c>
      <c r="Q25" s="301">
        <f t="shared" si="5"/>
        <v>0</v>
      </c>
      <c r="R25" s="301">
        <f t="shared" si="5"/>
        <v>34363192.561629228</v>
      </c>
      <c r="S25" s="301">
        <f t="shared" si="5"/>
        <v>0</v>
      </c>
      <c r="T25" s="301">
        <f t="shared" si="5"/>
        <v>24475363.948322278</v>
      </c>
      <c r="U25" s="301">
        <f t="shared" si="5"/>
        <v>0</v>
      </c>
      <c r="V25" s="301">
        <f t="shared" si="5"/>
        <v>0</v>
      </c>
      <c r="W25" s="301">
        <f t="shared" si="5"/>
        <v>0</v>
      </c>
      <c r="X25" s="301">
        <f t="shared" si="5"/>
        <v>28929768.223275162</v>
      </c>
      <c r="Y25" s="301">
        <f t="shared" si="5"/>
        <v>0</v>
      </c>
      <c r="Z25" s="301">
        <f t="shared" si="5"/>
        <v>0</v>
      </c>
      <c r="AA25" s="301">
        <f t="shared" si="5"/>
        <v>30017306.486625578</v>
      </c>
      <c r="AB25" s="301">
        <f t="shared" si="5"/>
        <v>0</v>
      </c>
      <c r="AC25" s="301">
        <f t="shared" si="5"/>
        <v>0</v>
      </c>
      <c r="AD25" s="301">
        <f t="shared" si="5"/>
        <v>35510082.854372606</v>
      </c>
      <c r="AE25" s="301">
        <f t="shared" si="5"/>
        <v>0</v>
      </c>
      <c r="AF25" s="301">
        <f t="shared" si="5"/>
        <v>45518278.215188041</v>
      </c>
      <c r="AG25" s="301">
        <f t="shared" si="5"/>
        <v>0</v>
      </c>
      <c r="AH25" s="301">
        <f t="shared" si="5"/>
        <v>0</v>
      </c>
      <c r="AI25" s="301">
        <f t="shared" si="5"/>
        <v>42338085.832925707</v>
      </c>
      <c r="AJ25" s="301">
        <f t="shared" si="5"/>
        <v>0</v>
      </c>
      <c r="AK25" s="301">
        <f t="shared" si="5"/>
        <v>0</v>
      </c>
      <c r="AL25" s="301">
        <f t="shared" si="5"/>
        <v>0</v>
      </c>
      <c r="AM25" s="301">
        <f t="shared" si="5"/>
        <v>0</v>
      </c>
      <c r="AN25" s="301">
        <f t="shared" si="5"/>
        <v>40281223.111892566</v>
      </c>
      <c r="AO25" s="301">
        <f t="shared" si="5"/>
        <v>0</v>
      </c>
      <c r="AP25" s="301">
        <f t="shared" si="5"/>
        <v>0</v>
      </c>
      <c r="AQ25" s="301">
        <f t="shared" si="5"/>
        <v>0</v>
      </c>
      <c r="AR25" s="301">
        <f t="shared" si="5"/>
        <v>0</v>
      </c>
      <c r="AS25" s="301">
        <f t="shared" si="5"/>
        <v>0</v>
      </c>
      <c r="AT25" s="261"/>
    </row>
    <row r="26" spans="1:46" s="31" customFormat="1" ht="15" thickBot="1" x14ac:dyDescent="0.4">
      <c r="A26" s="2"/>
      <c r="B26" s="428"/>
      <c r="C26" s="429"/>
      <c r="D26" s="302" t="s">
        <v>34</v>
      </c>
      <c r="E26" s="295">
        <v>4.2900000000000001E-2</v>
      </c>
      <c r="F26" s="2"/>
      <c r="G26" s="303"/>
      <c r="H26" s="304" t="s">
        <v>191</v>
      </c>
      <c r="I26" s="305">
        <f>SUM(L26:AS26)</f>
        <v>131033057.74872795</v>
      </c>
      <c r="J26" s="306">
        <f t="shared" ref="J26:AS26" si="6">(SUM(J14:J22))/((1+$E$26)^J2)</f>
        <v>0</v>
      </c>
      <c r="K26" s="307">
        <f t="shared" si="6"/>
        <v>0</v>
      </c>
      <c r="L26" s="307">
        <f t="shared" si="6"/>
        <v>0</v>
      </c>
      <c r="M26" s="307">
        <f t="shared" si="6"/>
        <v>0</v>
      </c>
      <c r="N26" s="307">
        <f t="shared" si="6"/>
        <v>0</v>
      </c>
      <c r="O26" s="307">
        <f t="shared" si="6"/>
        <v>0</v>
      </c>
      <c r="P26" s="308">
        <f t="shared" si="6"/>
        <v>0</v>
      </c>
      <c r="Q26" s="308">
        <f t="shared" si="6"/>
        <v>0</v>
      </c>
      <c r="R26" s="308">
        <f t="shared" si="6"/>
        <v>24555691.360991497</v>
      </c>
      <c r="S26" s="308">
        <f t="shared" si="6"/>
        <v>0</v>
      </c>
      <c r="T26" s="308">
        <f t="shared" si="6"/>
        <v>16080608.692779589</v>
      </c>
      <c r="U26" s="308">
        <f t="shared" si="6"/>
        <v>0</v>
      </c>
      <c r="V26" s="308">
        <f t="shared" si="6"/>
        <v>0</v>
      </c>
      <c r="W26" s="308">
        <f t="shared" si="6"/>
        <v>0</v>
      </c>
      <c r="X26" s="308">
        <f t="shared" si="6"/>
        <v>16067474.147781709</v>
      </c>
      <c r="Y26" s="308">
        <f t="shared" si="6"/>
        <v>0</v>
      </c>
      <c r="Z26" s="308">
        <f t="shared" si="6"/>
        <v>0</v>
      </c>
      <c r="AA26" s="308">
        <f t="shared" si="6"/>
        <v>14697598.274529196</v>
      </c>
      <c r="AB26" s="308">
        <f t="shared" si="6"/>
        <v>0</v>
      </c>
      <c r="AC26" s="308">
        <f t="shared" si="6"/>
        <v>0</v>
      </c>
      <c r="AD26" s="308">
        <f t="shared" si="6"/>
        <v>15328453.34904073</v>
      </c>
      <c r="AE26" s="308">
        <f t="shared" si="6"/>
        <v>0</v>
      </c>
      <c r="AF26" s="308">
        <f t="shared" si="6"/>
        <v>18065381.690642744</v>
      </c>
      <c r="AG26" s="308">
        <f t="shared" si="6"/>
        <v>0</v>
      </c>
      <c r="AH26" s="308">
        <f t="shared" si="6"/>
        <v>0</v>
      </c>
      <c r="AI26" s="308">
        <f t="shared" si="6"/>
        <v>14813733.67693047</v>
      </c>
      <c r="AJ26" s="308">
        <f t="shared" si="6"/>
        <v>0</v>
      </c>
      <c r="AK26" s="308">
        <f t="shared" si="6"/>
        <v>0</v>
      </c>
      <c r="AL26" s="308">
        <f t="shared" si="6"/>
        <v>0</v>
      </c>
      <c r="AM26" s="308">
        <f t="shared" si="6"/>
        <v>0</v>
      </c>
      <c r="AN26" s="308">
        <f t="shared" si="6"/>
        <v>11424116.556031998</v>
      </c>
      <c r="AO26" s="308">
        <f t="shared" si="6"/>
        <v>0</v>
      </c>
      <c r="AP26" s="308">
        <f t="shared" si="6"/>
        <v>0</v>
      </c>
      <c r="AQ26" s="308">
        <f t="shared" si="6"/>
        <v>0</v>
      </c>
      <c r="AR26" s="308">
        <f t="shared" si="6"/>
        <v>0</v>
      </c>
      <c r="AS26" s="308">
        <f t="shared" si="6"/>
        <v>0</v>
      </c>
      <c r="AT26" s="276"/>
    </row>
    <row r="27" spans="1:46" s="41" customFormat="1" x14ac:dyDescent="0.35">
      <c r="A27" s="2"/>
      <c r="B27" s="309"/>
      <c r="C27" s="309"/>
      <c r="D27" s="309"/>
      <c r="E27" s="292"/>
      <c r="F27" s="2"/>
      <c r="G27" s="292"/>
      <c r="H27" s="292"/>
      <c r="I27" s="310"/>
      <c r="J27" s="2"/>
      <c r="K27" s="292"/>
      <c r="L27" s="292"/>
      <c r="M27" s="292"/>
      <c r="N27" s="292"/>
      <c r="O27" s="292"/>
      <c r="P27" s="292"/>
      <c r="Q27" s="292"/>
      <c r="R27" s="292"/>
      <c r="S27" s="292"/>
      <c r="T27" s="292"/>
      <c r="U27" s="292"/>
      <c r="V27" s="292"/>
      <c r="W27" s="292"/>
      <c r="X27" s="292"/>
      <c r="Y27" s="292"/>
      <c r="Z27" s="292"/>
      <c r="AA27" s="292"/>
      <c r="AB27" s="292"/>
      <c r="AC27" s="292"/>
      <c r="AD27" s="292"/>
      <c r="AE27" s="292"/>
      <c r="AF27" s="292"/>
      <c r="AG27" s="292"/>
      <c r="AH27" s="292"/>
      <c r="AI27" s="292"/>
      <c r="AJ27" s="292"/>
      <c r="AK27" s="292"/>
      <c r="AL27" s="292"/>
      <c r="AM27" s="292"/>
      <c r="AN27" s="292"/>
      <c r="AO27" s="292"/>
      <c r="AP27" s="292"/>
      <c r="AQ27" s="292"/>
      <c r="AR27" s="292"/>
      <c r="AS27" s="292"/>
      <c r="AT27" s="311"/>
    </row>
    <row r="28" spans="1:46" s="38" customFormat="1" ht="21" x14ac:dyDescent="0.5">
      <c r="A28" s="268" t="s">
        <v>192</v>
      </c>
      <c r="B28" s="269"/>
      <c r="C28" s="269"/>
      <c r="D28" s="270"/>
      <c r="E28" s="269"/>
      <c r="F28" s="269"/>
      <c r="G28" s="270"/>
      <c r="H28" s="269"/>
      <c r="I28" s="269"/>
      <c r="J28" s="269"/>
      <c r="K28" s="269"/>
      <c r="L28" s="269"/>
      <c r="M28" s="269"/>
      <c r="N28" s="269"/>
      <c r="O28" s="269"/>
      <c r="P28" s="269"/>
      <c r="Q28" s="269"/>
      <c r="R28" s="269"/>
      <c r="S28" s="269"/>
      <c r="T28" s="269"/>
      <c r="U28" s="269"/>
      <c r="V28" s="269"/>
      <c r="W28" s="269"/>
      <c r="X28" s="269"/>
      <c r="Y28" s="269"/>
      <c r="Z28" s="269"/>
      <c r="AA28" s="269"/>
      <c r="AB28" s="269"/>
      <c r="AC28" s="269"/>
      <c r="AD28" s="269"/>
      <c r="AE28" s="269"/>
      <c r="AF28" s="269"/>
      <c r="AG28" s="269"/>
      <c r="AH28" s="269"/>
      <c r="AI28" s="269"/>
      <c r="AJ28" s="269"/>
      <c r="AK28" s="269"/>
      <c r="AL28" s="269"/>
      <c r="AM28" s="269"/>
      <c r="AN28" s="269"/>
      <c r="AO28" s="269"/>
      <c r="AP28" s="269"/>
      <c r="AQ28" s="269"/>
      <c r="AR28" s="269"/>
      <c r="AS28" s="269"/>
      <c r="AT28" s="312"/>
    </row>
    <row r="29" spans="1:46" s="4" customFormat="1" x14ac:dyDescent="0.35">
      <c r="A29" s="292"/>
      <c r="B29" s="292"/>
      <c r="C29" s="309"/>
      <c r="D29" s="309"/>
      <c r="E29" s="309"/>
      <c r="F29" s="309"/>
      <c r="G29" s="292"/>
      <c r="H29" s="292"/>
      <c r="I29" s="313" t="s">
        <v>193</v>
      </c>
      <c r="J29" s="314">
        <v>290</v>
      </c>
      <c r="K29" s="315">
        <v>309</v>
      </c>
      <c r="L29" s="315">
        <v>327</v>
      </c>
      <c r="M29" s="316">
        <v>321</v>
      </c>
      <c r="N29" s="316">
        <v>321</v>
      </c>
      <c r="O29" s="316">
        <v>318.48089795918366</v>
      </c>
      <c r="P29" s="316">
        <v>315.96179591836733</v>
      </c>
      <c r="Q29" s="316">
        <v>313.44269387755099</v>
      </c>
      <c r="R29" s="316">
        <v>310.92359183673466</v>
      </c>
      <c r="S29" s="316">
        <v>308.40448979591832</v>
      </c>
      <c r="T29" s="316">
        <v>305.88538775510199</v>
      </c>
      <c r="U29" s="316">
        <v>303.36628571428565</v>
      </c>
      <c r="V29" s="316">
        <v>300.84718367346932</v>
      </c>
      <c r="W29" s="316">
        <v>298.32808163265298</v>
      </c>
      <c r="X29" s="316">
        <v>295.80897959183665</v>
      </c>
      <c r="Y29" s="316">
        <v>293.28987755102031</v>
      </c>
      <c r="Z29" s="316">
        <v>290.77077551020398</v>
      </c>
      <c r="AA29" s="316">
        <v>288.25167346938764</v>
      </c>
      <c r="AB29" s="316">
        <v>285.7325714285713</v>
      </c>
      <c r="AC29" s="316">
        <v>283.21346938775497</v>
      </c>
      <c r="AD29" s="316">
        <v>280.69436734693863</v>
      </c>
      <c r="AE29" s="316">
        <v>278.1752653061223</v>
      </c>
      <c r="AF29" s="316">
        <v>275.65616326530596</v>
      </c>
      <c r="AG29" s="316">
        <v>273.13706122448963</v>
      </c>
      <c r="AH29" s="316">
        <v>270.61795918367329</v>
      </c>
      <c r="AI29" s="316">
        <v>268.09885714285696</v>
      </c>
      <c r="AJ29" s="316">
        <v>265.57975510204062</v>
      </c>
      <c r="AK29" s="316">
        <v>263.06065306122429</v>
      </c>
      <c r="AL29" s="316">
        <f>260.541551020408-34.8</f>
        <v>225.741551020408</v>
      </c>
      <c r="AM29" s="316">
        <f>258.022448979592-34.8</f>
        <v>223.222448979592</v>
      </c>
      <c r="AN29" s="316">
        <f>255.503346938775-34.8</f>
        <v>220.70334693877498</v>
      </c>
      <c r="AO29" s="316">
        <f>252.984244897959-34.8</f>
        <v>218.18424489795899</v>
      </c>
      <c r="AP29" s="316">
        <f>250.465142857143-34.8</f>
        <v>215.665142857143</v>
      </c>
      <c r="AQ29" s="317"/>
      <c r="AR29" s="317"/>
      <c r="AS29" s="317"/>
      <c r="AT29" s="312"/>
    </row>
    <row r="30" spans="1:46" s="4" customFormat="1" x14ac:dyDescent="0.35">
      <c r="A30" s="292"/>
      <c r="B30" s="318"/>
      <c r="C30" s="319"/>
      <c r="D30" s="320" t="s">
        <v>194</v>
      </c>
      <c r="E30" s="321" t="s">
        <v>195</v>
      </c>
      <c r="F30" s="292"/>
      <c r="G30" s="292"/>
      <c r="H30" s="292"/>
      <c r="I30" s="313" t="s">
        <v>196</v>
      </c>
      <c r="J30" s="322"/>
      <c r="K30" s="323">
        <f>SUM($K29:K29)</f>
        <v>309</v>
      </c>
      <c r="L30" s="323">
        <f>SUM($K29:L29)</f>
        <v>636</v>
      </c>
      <c r="M30" s="323">
        <f>SUM($K29:M29)</f>
        <v>957</v>
      </c>
      <c r="N30" s="323">
        <f>SUM($K29:N29)</f>
        <v>1278</v>
      </c>
      <c r="O30" s="323">
        <f>SUM($K29:O29)</f>
        <v>1596.4808979591837</v>
      </c>
      <c r="P30" s="323">
        <f>SUM($K29:P29)</f>
        <v>1912.4426938775509</v>
      </c>
      <c r="Q30" s="323">
        <f>SUM($K29:Q29)</f>
        <v>2225.8853877551019</v>
      </c>
      <c r="R30" s="323">
        <f>SUM($K29:R29)</f>
        <v>2536.8089795918368</v>
      </c>
      <c r="S30" s="323">
        <f>SUM($K29:S29)</f>
        <v>2845.2134693877551</v>
      </c>
      <c r="T30" s="323">
        <f>SUM($K29:T29)</f>
        <v>3151.098857142857</v>
      </c>
      <c r="U30" s="323">
        <f>SUM($K29:U29)</f>
        <v>3454.4651428571428</v>
      </c>
      <c r="V30" s="323">
        <f>SUM($K29:V29)</f>
        <v>3755.3123265306122</v>
      </c>
      <c r="W30" s="323">
        <f>SUM($K29:W29)</f>
        <v>4053.640408163265</v>
      </c>
      <c r="X30" s="323">
        <f>SUM($K29:X29)</f>
        <v>4349.4493877551013</v>
      </c>
      <c r="Y30" s="323">
        <f>SUM($K29:Y29)</f>
        <v>4642.7392653061215</v>
      </c>
      <c r="Z30" s="323">
        <f>SUM($K29:Z29)</f>
        <v>4933.5100408163253</v>
      </c>
      <c r="AA30" s="323">
        <f>SUM($K29:AA29)</f>
        <v>5221.7617142857125</v>
      </c>
      <c r="AB30" s="323">
        <f>SUM($K29:AB29)</f>
        <v>5507.4942857142842</v>
      </c>
      <c r="AC30" s="323">
        <f>SUM($K29:AC29)</f>
        <v>5790.7077551020393</v>
      </c>
      <c r="AD30" s="323">
        <f>SUM($K29:AD29)</f>
        <v>6071.4021224489779</v>
      </c>
      <c r="AE30" s="323">
        <f>SUM($K29:AE29)</f>
        <v>6349.5773877551001</v>
      </c>
      <c r="AF30" s="323">
        <f>SUM($K29:AF29)</f>
        <v>6625.2335510204057</v>
      </c>
      <c r="AG30" s="323">
        <f>SUM($K29:AG29)</f>
        <v>6898.3706122448957</v>
      </c>
      <c r="AH30" s="323">
        <f>SUM($K29:AH29)</f>
        <v>7168.9885714285692</v>
      </c>
      <c r="AI30" s="323">
        <f>SUM($K29:AI29)</f>
        <v>7437.0874285714262</v>
      </c>
      <c r="AJ30" s="323">
        <f>SUM($K29:AJ29)</f>
        <v>7702.6671836734668</v>
      </c>
      <c r="AK30" s="323">
        <f>SUM($K29:AK29)</f>
        <v>7965.7278367346908</v>
      </c>
      <c r="AL30" s="323">
        <f>SUM($K29:AL29)</f>
        <v>8191.469387755099</v>
      </c>
      <c r="AM30" s="323">
        <f>SUM($K29:AM29)</f>
        <v>8414.6918367346916</v>
      </c>
      <c r="AN30" s="323">
        <f>SUM($K29:AN29)</f>
        <v>8635.3951836734668</v>
      </c>
      <c r="AO30" s="323">
        <f>SUM($K29:AO29)</f>
        <v>8853.5794285714255</v>
      </c>
      <c r="AP30" s="323">
        <f>SUM($K29:AP29)</f>
        <v>9069.2445714285677</v>
      </c>
      <c r="AQ30" s="323">
        <f>SUM($K29:AQ29)</f>
        <v>9069.2445714285677</v>
      </c>
      <c r="AR30" s="323">
        <f>SUM($K29:AR29)</f>
        <v>9069.2445714285677</v>
      </c>
      <c r="AS30" s="323">
        <f>SUM($K29:AS29)</f>
        <v>9069.2445714285677</v>
      </c>
      <c r="AT30" s="309"/>
    </row>
    <row r="31" spans="1:46" s="4" customFormat="1" ht="15" customHeight="1" x14ac:dyDescent="0.35">
      <c r="A31" s="2"/>
      <c r="B31" s="406" t="s">
        <v>197</v>
      </c>
      <c r="C31" s="407"/>
      <c r="D31" s="324" t="s">
        <v>198</v>
      </c>
      <c r="E31" s="325">
        <f>9069+290</f>
        <v>9359</v>
      </c>
      <c r="F31" s="326"/>
      <c r="G31" s="292"/>
      <c r="H31" s="292"/>
      <c r="I31" s="292"/>
      <c r="J31" s="292"/>
      <c r="K31" s="292"/>
      <c r="L31" s="309"/>
      <c r="M31" s="309"/>
      <c r="N31" s="309"/>
      <c r="O31" s="309"/>
      <c r="P31" s="309"/>
      <c r="Q31" s="309"/>
      <c r="R31" s="309"/>
      <c r="S31" s="309"/>
      <c r="T31" s="309"/>
      <c r="U31" s="309"/>
      <c r="V31" s="309"/>
      <c r="W31" s="309"/>
      <c r="X31" s="309"/>
      <c r="Y31" s="309"/>
      <c r="Z31" s="309"/>
      <c r="AA31" s="309"/>
      <c r="AB31" s="309"/>
      <c r="AC31" s="309"/>
      <c r="AD31" s="309"/>
      <c r="AE31" s="309"/>
      <c r="AF31" s="309"/>
      <c r="AG31" s="309"/>
      <c r="AH31" s="309"/>
      <c r="AI31" s="309"/>
      <c r="AJ31" s="309"/>
      <c r="AK31" s="309"/>
      <c r="AL31" s="309"/>
      <c r="AM31" s="309"/>
      <c r="AN31" s="309"/>
      <c r="AO31" s="309"/>
      <c r="AP31" s="309"/>
      <c r="AQ31" s="309"/>
      <c r="AR31" s="309"/>
      <c r="AS31" s="309"/>
      <c r="AT31" s="327"/>
    </row>
    <row r="32" spans="1:46" s="4" customFormat="1" ht="15" thickBot="1" x14ac:dyDescent="0.4">
      <c r="A32" s="2"/>
      <c r="B32" s="404" t="s">
        <v>199</v>
      </c>
      <c r="C32" s="405"/>
      <c r="D32" s="83">
        <v>2023</v>
      </c>
      <c r="E32" s="84">
        <v>290</v>
      </c>
      <c r="F32" s="326"/>
      <c r="G32" s="292"/>
      <c r="H32" s="292"/>
      <c r="I32" s="313"/>
      <c r="J32" s="323"/>
      <c r="K32" s="323"/>
      <c r="L32" s="323"/>
      <c r="M32" s="323"/>
      <c r="N32" s="323"/>
      <c r="O32" s="323"/>
      <c r="P32" s="323"/>
      <c r="Q32" s="323"/>
      <c r="R32" s="323"/>
      <c r="S32" s="323"/>
      <c r="T32" s="323"/>
      <c r="U32" s="323"/>
      <c r="V32" s="323"/>
      <c r="W32" s="323"/>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7"/>
    </row>
    <row r="33" spans="1:47" s="4" customFormat="1" x14ac:dyDescent="0.35">
      <c r="A33" s="292"/>
      <c r="B33" s="406" t="s">
        <v>200</v>
      </c>
      <c r="C33" s="407"/>
      <c r="D33" s="328" t="s">
        <v>198</v>
      </c>
      <c r="E33" s="329">
        <f>E31-E32</f>
        <v>9069</v>
      </c>
      <c r="F33" s="326"/>
      <c r="G33" s="369" t="s">
        <v>201</v>
      </c>
      <c r="H33" s="330"/>
      <c r="I33" s="330"/>
      <c r="J33" s="331"/>
      <c r="K33" s="331"/>
      <c r="L33" s="331"/>
      <c r="M33" s="331"/>
      <c r="N33" s="331"/>
      <c r="O33" s="331"/>
      <c r="P33" s="331"/>
      <c r="Q33" s="331"/>
      <c r="R33" s="331"/>
      <c r="S33" s="331"/>
      <c r="T33" s="331"/>
      <c r="U33" s="331"/>
      <c r="V33" s="331"/>
      <c r="W33" s="331"/>
      <c r="X33" s="331"/>
      <c r="Y33" s="331"/>
      <c r="Z33" s="331"/>
      <c r="AA33" s="331"/>
      <c r="AB33" s="331"/>
      <c r="AC33" s="331"/>
      <c r="AD33" s="331"/>
      <c r="AE33" s="331"/>
      <c r="AF33" s="331"/>
      <c r="AG33" s="331"/>
      <c r="AH33" s="331"/>
      <c r="AI33" s="331"/>
      <c r="AJ33" s="331"/>
      <c r="AK33" s="331"/>
      <c r="AL33" s="331"/>
      <c r="AM33" s="331"/>
      <c r="AN33" s="331"/>
      <c r="AO33" s="331"/>
      <c r="AP33" s="331"/>
      <c r="AQ33" s="331"/>
      <c r="AR33" s="331"/>
      <c r="AS33" s="331"/>
      <c r="AT33" s="327"/>
    </row>
    <row r="34" spans="1:47" s="4" customFormat="1" ht="15" customHeight="1" x14ac:dyDescent="0.35">
      <c r="A34" s="292"/>
      <c r="B34" s="408" t="s">
        <v>202</v>
      </c>
      <c r="C34" s="409"/>
      <c r="D34" s="83">
        <v>2024</v>
      </c>
      <c r="E34" s="332">
        <v>309</v>
      </c>
      <c r="F34" s="2"/>
      <c r="G34" s="333"/>
      <c r="H34" s="334" t="s">
        <v>203</v>
      </c>
      <c r="I34" s="335">
        <f>SUM(K34:AS34)</f>
        <v>306664750.71127456</v>
      </c>
      <c r="J34" s="299"/>
      <c r="K34" s="301">
        <f t="shared" ref="K34:AS34" si="7">(($C$3*K29)*(1+$E$26)^J2)</f>
        <v>5281276.5701110484</v>
      </c>
      <c r="L34" s="301">
        <f t="shared" si="7"/>
        <v>5828688.5777825294</v>
      </c>
      <c r="M34" s="301">
        <f t="shared" si="7"/>
        <v>5967202.816525925</v>
      </c>
      <c r="N34" s="301">
        <f t="shared" si="7"/>
        <v>6223195.8173548868</v>
      </c>
      <c r="O34" s="301">
        <f t="shared" si="7"/>
        <v>6439238.1989020351</v>
      </c>
      <c r="P34" s="301">
        <f t="shared" si="7"/>
        <v>6662363.7849717112</v>
      </c>
      <c r="Q34" s="301">
        <f t="shared" si="7"/>
        <v>6892782.7079525236</v>
      </c>
      <c r="R34" s="301">
        <f t="shared" si="7"/>
        <v>7130710.0935915913</v>
      </c>
      <c r="S34" s="301">
        <f t="shared" si="7"/>
        <v>7376366.1026949463</v>
      </c>
      <c r="T34" s="301">
        <f t="shared" si="7"/>
        <v>7629975.9672160223</v>
      </c>
      <c r="U34" s="301">
        <f t="shared" si="7"/>
        <v>7891770.0201739473</v>
      </c>
      <c r="V34" s="301">
        <f t="shared" si="7"/>
        <v>8161983.7188058374</v>
      </c>
      <c r="W34" s="301">
        <f t="shared" si="7"/>
        <v>8440857.6603175141</v>
      </c>
      <c r="X34" s="301">
        <f t="shared" si="7"/>
        <v>8728637.5895549674</v>
      </c>
      <c r="Y34" s="301">
        <f t="shared" si="7"/>
        <v>9025574.3978743684</v>
      </c>
      <c r="Z34" s="301">
        <f t="shared" si="7"/>
        <v>9331924.1124413814</v>
      </c>
      <c r="AA34" s="301">
        <f t="shared" si="7"/>
        <v>9647947.8751406521</v>
      </c>
      <c r="AB34" s="301">
        <f t="shared" si="7"/>
        <v>9973911.9102237411</v>
      </c>
      <c r="AC34" s="301">
        <f t="shared" si="7"/>
        <v>10310087.479768073</v>
      </c>
      <c r="AD34" s="301">
        <f t="shared" si="7"/>
        <v>10656750.825960612</v>
      </c>
      <c r="AE34" s="301">
        <f t="shared" si="7"/>
        <v>11014183.099157833</v>
      </c>
      <c r="AF34" s="301">
        <f t="shared" si="7"/>
        <v>11382670.270607768</v>
      </c>
      <c r="AG34" s="301">
        <f t="shared" si="7"/>
        <v>11762503.028650586</v>
      </c>
      <c r="AH34" s="301">
        <f t="shared" si="7"/>
        <v>12153976.65714075</v>
      </c>
      <c r="AI34" s="301">
        <f t="shared" si="7"/>
        <v>12557390.894756408</v>
      </c>
      <c r="AJ34" s="301">
        <f t="shared" si="7"/>
        <v>12973049.773779923</v>
      </c>
      <c r="AK34" s="301">
        <f t="shared" si="7"/>
        <v>13401261.436847039</v>
      </c>
      <c r="AL34" s="301">
        <f t="shared" si="7"/>
        <v>11993445.275214944</v>
      </c>
      <c r="AM34" s="301">
        <f t="shared" si="7"/>
        <v>12368384.821103383</v>
      </c>
      <c r="AN34" s="301">
        <f t="shared" si="7"/>
        <v>12753421.323410032</v>
      </c>
      <c r="AO34" s="301">
        <f t="shared" si="7"/>
        <v>13148731.058506051</v>
      </c>
      <c r="AP34" s="301">
        <f t="shared" si="7"/>
        <v>13554486.844735488</v>
      </c>
      <c r="AQ34" s="301">
        <f t="shared" si="7"/>
        <v>0</v>
      </c>
      <c r="AR34" s="301">
        <f t="shared" si="7"/>
        <v>0</v>
      </c>
      <c r="AS34" s="301">
        <f t="shared" si="7"/>
        <v>0</v>
      </c>
      <c r="AT34" s="327"/>
    </row>
    <row r="35" spans="1:47" s="4" customFormat="1" ht="15" customHeight="1" x14ac:dyDescent="0.35">
      <c r="A35" s="292"/>
      <c r="B35" s="408"/>
      <c r="C35" s="409"/>
      <c r="D35" s="83">
        <v>2025</v>
      </c>
      <c r="E35" s="332">
        <v>327</v>
      </c>
      <c r="F35" s="2"/>
      <c r="G35" s="336"/>
      <c r="H35" s="337" t="s">
        <v>204</v>
      </c>
      <c r="I35" s="338"/>
      <c r="J35" s="339"/>
      <c r="K35" s="339">
        <f t="shared" ref="K35:AR35" si="8">J42</f>
        <v>0</v>
      </c>
      <c r="L35" s="339">
        <f t="shared" si="8"/>
        <v>0</v>
      </c>
      <c r="M35" s="339">
        <f t="shared" si="8"/>
        <v>0</v>
      </c>
      <c r="N35" s="339">
        <f t="shared" si="8"/>
        <v>0</v>
      </c>
      <c r="O35" s="339">
        <f t="shared" si="8"/>
        <v>5394559.9525399301</v>
      </c>
      <c r="P35" s="339">
        <f t="shared" si="8"/>
        <v>11579700.522279857</v>
      </c>
      <c r="Q35" s="339">
        <f t="shared" si="8"/>
        <v>18171668.991626065</v>
      </c>
      <c r="R35" s="339">
        <f t="shared" si="8"/>
        <v>25307916.959003974</v>
      </c>
      <c r="S35" s="339">
        <f t="shared" si="8"/>
        <v>-2129296.5872624442</v>
      </c>
      <c r="T35" s="339">
        <f t="shared" si="8"/>
        <v>4584628.0773033518</v>
      </c>
      <c r="U35" s="339">
        <f t="shared" si="8"/>
        <v>-13178418.98615602</v>
      </c>
      <c r="V35" s="339">
        <f t="shared" si="8"/>
        <v>-6460109.3355629826</v>
      </c>
      <c r="W35" s="339">
        <f t="shared" si="8"/>
        <v>797341.12953911838</v>
      </c>
      <c r="X35" s="339">
        <f t="shared" si="8"/>
        <v>8625186.0157091524</v>
      </c>
      <c r="Y35" s="339">
        <f t="shared" si="8"/>
        <v>-12494056.768774662</v>
      </c>
      <c r="Z35" s="339">
        <f t="shared" si="8"/>
        <v>-4692993.5345808724</v>
      </c>
      <c r="AA35" s="339">
        <f t="shared" si="8"/>
        <v>3727591.0999169331</v>
      </c>
      <c r="AB35" s="339">
        <f t="shared" si="8"/>
        <v>-17857806.086809404</v>
      </c>
      <c r="AC35" s="339">
        <f t="shared" si="8"/>
        <v>-9404732.9992247541</v>
      </c>
      <c r="AD35" s="339">
        <f t="shared" si="8"/>
        <v>-276102.1602382469</v>
      </c>
      <c r="AE35" s="339">
        <f t="shared" si="8"/>
        <v>-26704824.71744895</v>
      </c>
      <c r="AF35" s="339">
        <f t="shared" si="8"/>
        <v>-17662609.377129469</v>
      </c>
      <c r="AG35" s="339">
        <f t="shared" si="8"/>
        <v>-54383741.746103048</v>
      </c>
      <c r="AH35" s="339">
        <f t="shared" si="8"/>
        <v>-45831466.135833398</v>
      </c>
      <c r="AI35" s="339">
        <f t="shared" si="8"/>
        <v>-36547198.706425883</v>
      </c>
      <c r="AJ35" s="339">
        <f t="shared" si="8"/>
        <v>-69734482.757061213</v>
      </c>
      <c r="AK35" s="339">
        <f t="shared" si="8"/>
        <v>-60711283.348724</v>
      </c>
      <c r="AL35" s="339">
        <f t="shared" si="8"/>
        <v>-50901117.947947837</v>
      </c>
      <c r="AM35" s="339">
        <f t="shared" si="8"/>
        <v>-40258028.97846587</v>
      </c>
      <c r="AN35" s="339">
        <f t="shared" si="8"/>
        <v>-28733776.730214555</v>
      </c>
      <c r="AO35" s="339">
        <f t="shared" si="8"/>
        <v>-57422992.604916014</v>
      </c>
      <c r="AP35" s="339">
        <f t="shared" si="8"/>
        <v>-47635734.311298601</v>
      </c>
      <c r="AQ35" s="339">
        <f t="shared" si="8"/>
        <v>-37045620.637737259</v>
      </c>
      <c r="AR35" s="339">
        <f t="shared" si="8"/>
        <v>-25607895.552299008</v>
      </c>
      <c r="AS35" s="339">
        <f>AR42</f>
        <v>-13275702.931781629</v>
      </c>
      <c r="AT35" s="327"/>
    </row>
    <row r="36" spans="1:47" s="4" customFormat="1" x14ac:dyDescent="0.35">
      <c r="A36" s="292"/>
      <c r="B36" s="408"/>
      <c r="C36" s="409"/>
      <c r="D36" s="83" t="s">
        <v>205</v>
      </c>
      <c r="E36" s="332">
        <v>321</v>
      </c>
      <c r="F36" s="340"/>
      <c r="G36" s="412" t="s">
        <v>206</v>
      </c>
      <c r="H36" s="341" t="s">
        <v>207</v>
      </c>
      <c r="I36" s="342">
        <v>0</v>
      </c>
      <c r="J36" s="299"/>
      <c r="K36" s="300">
        <f t="shared" ref="K36:AS36" si="9">K34*$I$36</f>
        <v>0</v>
      </c>
      <c r="L36" s="300">
        <f t="shared" si="9"/>
        <v>0</v>
      </c>
      <c r="M36" s="300">
        <f t="shared" si="9"/>
        <v>0</v>
      </c>
      <c r="N36" s="300">
        <f t="shared" si="9"/>
        <v>0</v>
      </c>
      <c r="O36" s="300">
        <f t="shared" si="9"/>
        <v>0</v>
      </c>
      <c r="P36" s="300">
        <f t="shared" si="9"/>
        <v>0</v>
      </c>
      <c r="Q36" s="300">
        <f t="shared" si="9"/>
        <v>0</v>
      </c>
      <c r="R36" s="300">
        <f t="shared" si="9"/>
        <v>0</v>
      </c>
      <c r="S36" s="300">
        <f t="shared" si="9"/>
        <v>0</v>
      </c>
      <c r="T36" s="300">
        <f t="shared" si="9"/>
        <v>0</v>
      </c>
      <c r="U36" s="300">
        <f t="shared" si="9"/>
        <v>0</v>
      </c>
      <c r="V36" s="300">
        <f t="shared" si="9"/>
        <v>0</v>
      </c>
      <c r="W36" s="300">
        <f t="shared" si="9"/>
        <v>0</v>
      </c>
      <c r="X36" s="300">
        <f t="shared" si="9"/>
        <v>0</v>
      </c>
      <c r="Y36" s="300">
        <f t="shared" si="9"/>
        <v>0</v>
      </c>
      <c r="Z36" s="300">
        <f t="shared" si="9"/>
        <v>0</v>
      </c>
      <c r="AA36" s="300">
        <f t="shared" si="9"/>
        <v>0</v>
      </c>
      <c r="AB36" s="300">
        <f t="shared" si="9"/>
        <v>0</v>
      </c>
      <c r="AC36" s="300">
        <f t="shared" si="9"/>
        <v>0</v>
      </c>
      <c r="AD36" s="300">
        <f t="shared" si="9"/>
        <v>0</v>
      </c>
      <c r="AE36" s="300">
        <f t="shared" si="9"/>
        <v>0</v>
      </c>
      <c r="AF36" s="300">
        <f t="shared" si="9"/>
        <v>0</v>
      </c>
      <c r="AG36" s="300">
        <f t="shared" si="9"/>
        <v>0</v>
      </c>
      <c r="AH36" s="300">
        <f t="shared" si="9"/>
        <v>0</v>
      </c>
      <c r="AI36" s="300">
        <f t="shared" si="9"/>
        <v>0</v>
      </c>
      <c r="AJ36" s="300">
        <f t="shared" si="9"/>
        <v>0</v>
      </c>
      <c r="AK36" s="300">
        <f t="shared" si="9"/>
        <v>0</v>
      </c>
      <c r="AL36" s="300">
        <f t="shared" si="9"/>
        <v>0</v>
      </c>
      <c r="AM36" s="300">
        <f t="shared" si="9"/>
        <v>0</v>
      </c>
      <c r="AN36" s="300">
        <f t="shared" si="9"/>
        <v>0</v>
      </c>
      <c r="AO36" s="300">
        <f t="shared" si="9"/>
        <v>0</v>
      </c>
      <c r="AP36" s="300">
        <f t="shared" si="9"/>
        <v>0</v>
      </c>
      <c r="AQ36" s="300">
        <f t="shared" si="9"/>
        <v>0</v>
      </c>
      <c r="AR36" s="300">
        <f t="shared" si="9"/>
        <v>0</v>
      </c>
      <c r="AS36" s="300">
        <f t="shared" si="9"/>
        <v>0</v>
      </c>
      <c r="AT36" s="327"/>
    </row>
    <row r="37" spans="1:47" s="4" customFormat="1" x14ac:dyDescent="0.35">
      <c r="A37" s="292"/>
      <c r="B37" s="408"/>
      <c r="C37" s="409"/>
      <c r="D37" s="83" t="s">
        <v>208</v>
      </c>
      <c r="E37" s="84" t="s">
        <v>209</v>
      </c>
      <c r="F37" s="2"/>
      <c r="G37" s="413"/>
      <c r="H37" s="341" t="s">
        <v>210</v>
      </c>
      <c r="I37" s="342">
        <v>0</v>
      </c>
      <c r="J37" s="343"/>
      <c r="K37" s="343"/>
      <c r="L37" s="344">
        <f t="shared" ref="L37:AS37" si="10">K34*$I$37</f>
        <v>0</v>
      </c>
      <c r="M37" s="344">
        <f t="shared" si="10"/>
        <v>0</v>
      </c>
      <c r="N37" s="344">
        <f t="shared" si="10"/>
        <v>0</v>
      </c>
      <c r="O37" s="344">
        <f t="shared" si="10"/>
        <v>0</v>
      </c>
      <c r="P37" s="344">
        <f t="shared" si="10"/>
        <v>0</v>
      </c>
      <c r="Q37" s="344">
        <f t="shared" si="10"/>
        <v>0</v>
      </c>
      <c r="R37" s="344">
        <f t="shared" si="10"/>
        <v>0</v>
      </c>
      <c r="S37" s="344">
        <f t="shared" si="10"/>
        <v>0</v>
      </c>
      <c r="T37" s="344">
        <f t="shared" si="10"/>
        <v>0</v>
      </c>
      <c r="U37" s="344">
        <f t="shared" si="10"/>
        <v>0</v>
      </c>
      <c r="V37" s="344">
        <f t="shared" si="10"/>
        <v>0</v>
      </c>
      <c r="W37" s="344">
        <f t="shared" si="10"/>
        <v>0</v>
      </c>
      <c r="X37" s="344">
        <f t="shared" si="10"/>
        <v>0</v>
      </c>
      <c r="Y37" s="344">
        <f t="shared" si="10"/>
        <v>0</v>
      </c>
      <c r="Z37" s="344">
        <f t="shared" si="10"/>
        <v>0</v>
      </c>
      <c r="AA37" s="344">
        <f t="shared" si="10"/>
        <v>0</v>
      </c>
      <c r="AB37" s="344">
        <f t="shared" si="10"/>
        <v>0</v>
      </c>
      <c r="AC37" s="344">
        <f t="shared" si="10"/>
        <v>0</v>
      </c>
      <c r="AD37" s="344">
        <f t="shared" si="10"/>
        <v>0</v>
      </c>
      <c r="AE37" s="344">
        <f t="shared" si="10"/>
        <v>0</v>
      </c>
      <c r="AF37" s="344">
        <f t="shared" si="10"/>
        <v>0</v>
      </c>
      <c r="AG37" s="344">
        <f t="shared" si="10"/>
        <v>0</v>
      </c>
      <c r="AH37" s="344">
        <f t="shared" si="10"/>
        <v>0</v>
      </c>
      <c r="AI37" s="344">
        <f t="shared" si="10"/>
        <v>0</v>
      </c>
      <c r="AJ37" s="344">
        <f t="shared" si="10"/>
        <v>0</v>
      </c>
      <c r="AK37" s="344">
        <f t="shared" si="10"/>
        <v>0</v>
      </c>
      <c r="AL37" s="344">
        <f t="shared" si="10"/>
        <v>0</v>
      </c>
      <c r="AM37" s="344">
        <f t="shared" si="10"/>
        <v>0</v>
      </c>
      <c r="AN37" s="344">
        <f t="shared" si="10"/>
        <v>0</v>
      </c>
      <c r="AO37" s="344">
        <f t="shared" si="10"/>
        <v>0</v>
      </c>
      <c r="AP37" s="344">
        <f t="shared" si="10"/>
        <v>0</v>
      </c>
      <c r="AQ37" s="344">
        <f t="shared" si="10"/>
        <v>0</v>
      </c>
      <c r="AR37" s="344">
        <f t="shared" si="10"/>
        <v>0</v>
      </c>
      <c r="AS37" s="344">
        <f t="shared" si="10"/>
        <v>0</v>
      </c>
      <c r="AT37" s="327"/>
    </row>
    <row r="38" spans="1:47" ht="14.5" customHeight="1" x14ac:dyDescent="0.35">
      <c r="A38" s="2"/>
      <c r="B38" s="408"/>
      <c r="C38" s="409"/>
      <c r="D38" s="345"/>
      <c r="E38" s="346"/>
      <c r="F38" s="326"/>
      <c r="G38" s="413"/>
      <c r="H38" s="341" t="s">
        <v>211</v>
      </c>
      <c r="I38" s="342">
        <v>0</v>
      </c>
      <c r="J38" s="343"/>
      <c r="K38" s="343"/>
      <c r="L38" s="343"/>
      <c r="M38" s="344">
        <f t="shared" ref="M38:AS38" si="11">K34*$I$38</f>
        <v>0</v>
      </c>
      <c r="N38" s="344">
        <f t="shared" si="11"/>
        <v>0</v>
      </c>
      <c r="O38" s="344">
        <f t="shared" si="11"/>
        <v>0</v>
      </c>
      <c r="P38" s="344">
        <f t="shared" si="11"/>
        <v>0</v>
      </c>
      <c r="Q38" s="344">
        <f t="shared" si="11"/>
        <v>0</v>
      </c>
      <c r="R38" s="344">
        <f t="shared" si="11"/>
        <v>0</v>
      </c>
      <c r="S38" s="344">
        <f t="shared" si="11"/>
        <v>0</v>
      </c>
      <c r="T38" s="344">
        <f t="shared" si="11"/>
        <v>0</v>
      </c>
      <c r="U38" s="344">
        <f t="shared" si="11"/>
        <v>0</v>
      </c>
      <c r="V38" s="344">
        <f t="shared" si="11"/>
        <v>0</v>
      </c>
      <c r="W38" s="344">
        <f t="shared" si="11"/>
        <v>0</v>
      </c>
      <c r="X38" s="344">
        <f t="shared" si="11"/>
        <v>0</v>
      </c>
      <c r="Y38" s="344">
        <f t="shared" si="11"/>
        <v>0</v>
      </c>
      <c r="Z38" s="344">
        <f t="shared" si="11"/>
        <v>0</v>
      </c>
      <c r="AA38" s="344">
        <f t="shared" si="11"/>
        <v>0</v>
      </c>
      <c r="AB38" s="344">
        <f t="shared" si="11"/>
        <v>0</v>
      </c>
      <c r="AC38" s="344">
        <f t="shared" si="11"/>
        <v>0</v>
      </c>
      <c r="AD38" s="344">
        <f t="shared" si="11"/>
        <v>0</v>
      </c>
      <c r="AE38" s="344">
        <f t="shared" si="11"/>
        <v>0</v>
      </c>
      <c r="AF38" s="344">
        <f t="shared" si="11"/>
        <v>0</v>
      </c>
      <c r="AG38" s="344">
        <f t="shared" si="11"/>
        <v>0</v>
      </c>
      <c r="AH38" s="344">
        <f t="shared" si="11"/>
        <v>0</v>
      </c>
      <c r="AI38" s="344">
        <f t="shared" si="11"/>
        <v>0</v>
      </c>
      <c r="AJ38" s="344">
        <f t="shared" si="11"/>
        <v>0</v>
      </c>
      <c r="AK38" s="344">
        <f t="shared" si="11"/>
        <v>0</v>
      </c>
      <c r="AL38" s="344">
        <f t="shared" si="11"/>
        <v>0</v>
      </c>
      <c r="AM38" s="344">
        <f t="shared" si="11"/>
        <v>0</v>
      </c>
      <c r="AN38" s="344">
        <f t="shared" si="11"/>
        <v>0</v>
      </c>
      <c r="AO38" s="344">
        <f t="shared" si="11"/>
        <v>0</v>
      </c>
      <c r="AP38" s="344">
        <f t="shared" si="11"/>
        <v>0</v>
      </c>
      <c r="AQ38" s="344">
        <f t="shared" si="11"/>
        <v>0</v>
      </c>
      <c r="AR38" s="344">
        <f t="shared" si="11"/>
        <v>0</v>
      </c>
      <c r="AS38" s="344">
        <f t="shared" si="11"/>
        <v>0</v>
      </c>
      <c r="AT38" s="327"/>
      <c r="AU38" s="4"/>
    </row>
    <row r="39" spans="1:47" ht="15.75" customHeight="1" x14ac:dyDescent="0.35">
      <c r="A39" s="2"/>
      <c r="B39" s="408"/>
      <c r="C39" s="409"/>
      <c r="D39" s="83"/>
      <c r="E39" s="346"/>
      <c r="F39" s="326"/>
      <c r="G39" s="414"/>
      <c r="H39" s="347" t="s">
        <v>212</v>
      </c>
      <c r="I39" s="342">
        <v>1</v>
      </c>
      <c r="J39" s="306"/>
      <c r="K39" s="306"/>
      <c r="L39" s="306"/>
      <c r="M39" s="306"/>
      <c r="N39" s="308">
        <f t="shared" ref="N39:AS39" si="12">K34*$I$39</f>
        <v>5281276.5701110484</v>
      </c>
      <c r="O39" s="308">
        <f t="shared" si="12"/>
        <v>5828688.5777825294</v>
      </c>
      <c r="P39" s="308">
        <f t="shared" si="12"/>
        <v>5967202.816525925</v>
      </c>
      <c r="Q39" s="308">
        <f t="shared" si="12"/>
        <v>6223195.8173548868</v>
      </c>
      <c r="R39" s="308">
        <f t="shared" si="12"/>
        <v>6439238.1989020351</v>
      </c>
      <c r="S39" s="308">
        <f t="shared" si="12"/>
        <v>6662363.7849717112</v>
      </c>
      <c r="T39" s="308">
        <f t="shared" si="12"/>
        <v>6892782.7079525236</v>
      </c>
      <c r="U39" s="308">
        <f t="shared" si="12"/>
        <v>7130710.0935915913</v>
      </c>
      <c r="V39" s="308">
        <f t="shared" si="12"/>
        <v>7376366.1026949463</v>
      </c>
      <c r="W39" s="308">
        <f t="shared" si="12"/>
        <v>7629975.9672160223</v>
      </c>
      <c r="X39" s="308">
        <f t="shared" si="12"/>
        <v>7891770.0201739473</v>
      </c>
      <c r="Y39" s="308">
        <f t="shared" si="12"/>
        <v>8161983.7188058374</v>
      </c>
      <c r="Z39" s="308">
        <f t="shared" si="12"/>
        <v>8440857.6603175141</v>
      </c>
      <c r="AA39" s="308">
        <f t="shared" si="12"/>
        <v>8728637.5895549674</v>
      </c>
      <c r="AB39" s="308">
        <f t="shared" si="12"/>
        <v>9025574.3978743684</v>
      </c>
      <c r="AC39" s="308">
        <f t="shared" si="12"/>
        <v>9331924.1124413814</v>
      </c>
      <c r="AD39" s="308">
        <f t="shared" si="12"/>
        <v>9647947.8751406521</v>
      </c>
      <c r="AE39" s="308">
        <f t="shared" si="12"/>
        <v>9973911.9102237411</v>
      </c>
      <c r="AF39" s="308">
        <f t="shared" si="12"/>
        <v>10310087.479768073</v>
      </c>
      <c r="AG39" s="308">
        <f t="shared" si="12"/>
        <v>10656750.825960612</v>
      </c>
      <c r="AH39" s="308">
        <f t="shared" si="12"/>
        <v>11014183.099157833</v>
      </c>
      <c r="AI39" s="308">
        <f t="shared" si="12"/>
        <v>11382670.270607768</v>
      </c>
      <c r="AJ39" s="308">
        <f t="shared" si="12"/>
        <v>11762503.028650586</v>
      </c>
      <c r="AK39" s="308">
        <f t="shared" si="12"/>
        <v>12153976.65714075</v>
      </c>
      <c r="AL39" s="308">
        <f t="shared" si="12"/>
        <v>12557390.894756408</v>
      </c>
      <c r="AM39" s="308">
        <f t="shared" si="12"/>
        <v>12973049.773779923</v>
      </c>
      <c r="AN39" s="308">
        <f t="shared" si="12"/>
        <v>13401261.436847039</v>
      </c>
      <c r="AO39" s="308">
        <f t="shared" si="12"/>
        <v>11993445.275214944</v>
      </c>
      <c r="AP39" s="308">
        <f t="shared" si="12"/>
        <v>12368384.821103383</v>
      </c>
      <c r="AQ39" s="308">
        <f t="shared" si="12"/>
        <v>12753421.323410032</v>
      </c>
      <c r="AR39" s="308">
        <f t="shared" si="12"/>
        <v>13148731.058506051</v>
      </c>
      <c r="AS39" s="308">
        <f t="shared" si="12"/>
        <v>13554486.844735488</v>
      </c>
      <c r="AT39" s="327"/>
      <c r="AU39" s="4"/>
    </row>
    <row r="40" spans="1:47" x14ac:dyDescent="0.35">
      <c r="A40" s="2"/>
      <c r="B40" s="408"/>
      <c r="C40" s="409"/>
      <c r="D40" s="83"/>
      <c r="E40" s="346"/>
      <c r="F40" s="326"/>
      <c r="G40" s="348"/>
      <c r="H40" s="313" t="s">
        <v>213</v>
      </c>
      <c r="I40" s="349">
        <f>SUM(K40:AS40)</f>
        <v>-25231449.477043353</v>
      </c>
      <c r="J40" s="343"/>
      <c r="K40" s="343"/>
      <c r="L40" s="343"/>
      <c r="M40" s="350">
        <f t="shared" ref="M40:AS40" si="13">(((M35+((M36+M37+M38+M39)*$E$48)))-(M25*0.5))*$E$26</f>
        <v>0</v>
      </c>
      <c r="N40" s="344">
        <f>(((N35+((N36+N37+N38+N39)*$E$48)))-(N25*0.5))*$E$26</f>
        <v>113283.38242888199</v>
      </c>
      <c r="O40" s="344">
        <f t="shared" si="13"/>
        <v>356451.99195739831</v>
      </c>
      <c r="P40" s="344">
        <f t="shared" si="13"/>
        <v>624765.65282028692</v>
      </c>
      <c r="Q40" s="344">
        <f t="shared" si="13"/>
        <v>913052.15002302057</v>
      </c>
      <c r="R40" s="344">
        <f t="shared" si="13"/>
        <v>486740.81646077213</v>
      </c>
      <c r="S40" s="344">
        <f t="shared" si="13"/>
        <v>51560.879594084348</v>
      </c>
      <c r="T40" s="344">
        <f t="shared" si="13"/>
        <v>-180465.82308961742</v>
      </c>
      <c r="U40" s="344">
        <f t="shared" si="13"/>
        <v>-412400.44299855363</v>
      </c>
      <c r="V40" s="344">
        <f t="shared" si="13"/>
        <v>-118915.63759284535</v>
      </c>
      <c r="W40" s="344">
        <f t="shared" si="13"/>
        <v>197868.91895401184</v>
      </c>
      <c r="X40" s="344">
        <f t="shared" si="13"/>
        <v>-81244.581382598408</v>
      </c>
      <c r="Y40" s="344">
        <f t="shared" si="13"/>
        <v>-360920.48461204779</v>
      </c>
      <c r="Z40" s="344">
        <f t="shared" si="13"/>
        <v>-20273.02581970875</v>
      </c>
      <c r="AA40" s="344">
        <f t="shared" si="13"/>
        <v>-296728.28965572815</v>
      </c>
      <c r="AB40" s="344">
        <f t="shared" si="13"/>
        <v>-572501.31028971821</v>
      </c>
      <c r="AC40" s="344">
        <f t="shared" si="13"/>
        <v>-203293.27345487432</v>
      </c>
      <c r="AD40" s="344">
        <f t="shared" si="13"/>
        <v>-566587.57797874627</v>
      </c>
      <c r="AE40" s="344">
        <f t="shared" si="13"/>
        <v>-931696.5699042608</v>
      </c>
      <c r="AF40" s="344">
        <f t="shared" si="13"/>
        <v>-1512941.6335536125</v>
      </c>
      <c r="AG40" s="344">
        <f t="shared" si="13"/>
        <v>-2104475.2156909658</v>
      </c>
      <c r="AH40" s="344">
        <f t="shared" si="13"/>
        <v>-1729915.669750317</v>
      </c>
      <c r="AI40" s="344">
        <f t="shared" si="13"/>
        <v>-2231868.48831739</v>
      </c>
      <c r="AJ40" s="344">
        <f t="shared" si="13"/>
        <v>-2739303.6203133711</v>
      </c>
      <c r="AK40" s="344">
        <f t="shared" si="13"/>
        <v>-2343811.2563645905</v>
      </c>
      <c r="AL40" s="344">
        <f t="shared" si="13"/>
        <v>-1914301.9252744373</v>
      </c>
      <c r="AM40" s="344">
        <f t="shared" si="13"/>
        <v>-1448797.5255286063</v>
      </c>
      <c r="AN40" s="344">
        <f t="shared" si="13"/>
        <v>-1809254.199655931</v>
      </c>
      <c r="AO40" s="344">
        <f t="shared" si="13"/>
        <v>-2206186.9815975367</v>
      </c>
      <c r="AP40" s="344">
        <f t="shared" si="13"/>
        <v>-1778271.1475420424</v>
      </c>
      <c r="AQ40" s="344">
        <f t="shared" si="13"/>
        <v>-1315696.2379717831</v>
      </c>
      <c r="AR40" s="344">
        <f t="shared" si="13"/>
        <v>-816538.43798867264</v>
      </c>
      <c r="AS40" s="344">
        <f t="shared" si="13"/>
        <v>-278783.91295385564</v>
      </c>
      <c r="AT40" s="261"/>
    </row>
    <row r="41" spans="1:47" x14ac:dyDescent="0.35">
      <c r="A41" s="2"/>
      <c r="B41" s="408"/>
      <c r="C41" s="409"/>
      <c r="D41" s="294"/>
      <c r="E41" s="351"/>
      <c r="F41" s="326"/>
      <c r="G41" s="348"/>
      <c r="H41" s="352" t="s">
        <v>214</v>
      </c>
      <c r="I41" s="353">
        <f>SUM(I34:I40)</f>
        <v>281433302.23423123</v>
      </c>
      <c r="J41" s="344"/>
      <c r="K41" s="344"/>
      <c r="L41" s="344"/>
      <c r="M41" s="344"/>
      <c r="N41" s="344"/>
      <c r="O41" s="344"/>
      <c r="P41" s="344"/>
      <c r="Q41" s="344"/>
      <c r="R41" s="344"/>
      <c r="S41" s="344"/>
      <c r="T41" s="344"/>
      <c r="U41" s="344"/>
      <c r="V41" s="344"/>
      <c r="W41" s="344"/>
      <c r="X41" s="344"/>
      <c r="Y41" s="344"/>
      <c r="Z41" s="344"/>
      <c r="AA41" s="344"/>
      <c r="AB41" s="344"/>
      <c r="AC41" s="344"/>
      <c r="AD41" s="344"/>
      <c r="AE41" s="344"/>
      <c r="AF41" s="344"/>
      <c r="AG41" s="344"/>
      <c r="AH41" s="344"/>
      <c r="AI41" s="344"/>
      <c r="AJ41" s="344"/>
      <c r="AK41" s="344"/>
      <c r="AL41" s="344"/>
      <c r="AM41" s="344"/>
      <c r="AN41" s="344"/>
      <c r="AO41" s="344"/>
      <c r="AP41" s="344"/>
      <c r="AQ41" s="344"/>
      <c r="AR41" s="344"/>
      <c r="AS41" s="344"/>
      <c r="AT41" s="261"/>
    </row>
    <row r="42" spans="1:47" ht="14.5" customHeight="1" x14ac:dyDescent="0.35">
      <c r="A42" s="2"/>
      <c r="B42" s="410"/>
      <c r="C42" s="411"/>
      <c r="D42" s="302"/>
      <c r="E42" s="354"/>
      <c r="F42" s="326"/>
      <c r="G42" s="336"/>
      <c r="H42" s="355" t="s">
        <v>215</v>
      </c>
      <c r="I42" s="356"/>
      <c r="J42" s="339"/>
      <c r="K42" s="339"/>
      <c r="L42" s="339"/>
      <c r="M42" s="339">
        <f t="shared" ref="M42:AR42" si="14">M35+M36+M37+M38+M39+M40-M25</f>
        <v>0</v>
      </c>
      <c r="N42" s="339">
        <f t="shared" si="14"/>
        <v>5394559.9525399301</v>
      </c>
      <c r="O42" s="339">
        <f t="shared" si="14"/>
        <v>11579700.522279857</v>
      </c>
      <c r="P42" s="339">
        <f t="shared" si="14"/>
        <v>18171668.991626065</v>
      </c>
      <c r="Q42" s="339">
        <f t="shared" si="14"/>
        <v>25307916.959003974</v>
      </c>
      <c r="R42" s="339">
        <f t="shared" si="14"/>
        <v>-2129296.5872624442</v>
      </c>
      <c r="S42" s="339">
        <f t="shared" si="14"/>
        <v>4584628.0773033518</v>
      </c>
      <c r="T42" s="339">
        <f t="shared" si="14"/>
        <v>-13178418.98615602</v>
      </c>
      <c r="U42" s="339">
        <f t="shared" si="14"/>
        <v>-6460109.3355629826</v>
      </c>
      <c r="V42" s="339">
        <f t="shared" si="14"/>
        <v>797341.12953911838</v>
      </c>
      <c r="W42" s="339">
        <f t="shared" si="14"/>
        <v>8625186.0157091524</v>
      </c>
      <c r="X42" s="339">
        <f t="shared" si="14"/>
        <v>-12494056.768774662</v>
      </c>
      <c r="Y42" s="339">
        <f t="shared" si="14"/>
        <v>-4692993.5345808724</v>
      </c>
      <c r="Z42" s="339">
        <f t="shared" si="14"/>
        <v>3727591.0999169331</v>
      </c>
      <c r="AA42" s="339">
        <f t="shared" si="14"/>
        <v>-17857806.086809404</v>
      </c>
      <c r="AB42" s="339">
        <f t="shared" si="14"/>
        <v>-9404732.9992247541</v>
      </c>
      <c r="AC42" s="339">
        <f t="shared" si="14"/>
        <v>-276102.1602382469</v>
      </c>
      <c r="AD42" s="339">
        <f t="shared" si="14"/>
        <v>-26704824.71744895</v>
      </c>
      <c r="AE42" s="339">
        <f t="shared" si="14"/>
        <v>-17662609.377129469</v>
      </c>
      <c r="AF42" s="339">
        <f t="shared" si="14"/>
        <v>-54383741.746103048</v>
      </c>
      <c r="AG42" s="339">
        <f t="shared" si="14"/>
        <v>-45831466.135833398</v>
      </c>
      <c r="AH42" s="339">
        <f t="shared" si="14"/>
        <v>-36547198.706425883</v>
      </c>
      <c r="AI42" s="339">
        <f t="shared" si="14"/>
        <v>-69734482.757061213</v>
      </c>
      <c r="AJ42" s="339">
        <f t="shared" si="14"/>
        <v>-60711283.348724</v>
      </c>
      <c r="AK42" s="339">
        <f t="shared" si="14"/>
        <v>-50901117.947947837</v>
      </c>
      <c r="AL42" s="339">
        <f t="shared" si="14"/>
        <v>-40258028.97846587</v>
      </c>
      <c r="AM42" s="339">
        <f t="shared" si="14"/>
        <v>-28733776.730214555</v>
      </c>
      <c r="AN42" s="339">
        <f t="shared" si="14"/>
        <v>-57422992.604916014</v>
      </c>
      <c r="AO42" s="339">
        <f t="shared" si="14"/>
        <v>-47635734.311298601</v>
      </c>
      <c r="AP42" s="339">
        <f t="shared" si="14"/>
        <v>-37045620.637737259</v>
      </c>
      <c r="AQ42" s="339">
        <f t="shared" si="14"/>
        <v>-25607895.552299008</v>
      </c>
      <c r="AR42" s="339">
        <f t="shared" si="14"/>
        <v>-13275702.931781629</v>
      </c>
      <c r="AS42" s="339">
        <f>AS35+AS36+AS37+AS38+AS39+AS40-AS25</f>
        <v>3.5506673157215118E-9</v>
      </c>
      <c r="AT42" s="261"/>
    </row>
    <row r="43" spans="1:47" s="31" customFormat="1" ht="14.5" customHeight="1" x14ac:dyDescent="0.35">
      <c r="A43" s="2"/>
      <c r="B43" s="357"/>
      <c r="C43" s="2"/>
      <c r="D43" s="2"/>
      <c r="E43" s="2"/>
      <c r="F43" s="326"/>
      <c r="G43" s="326"/>
      <c r="H43" s="326"/>
      <c r="I43" s="326"/>
      <c r="J43" s="326"/>
      <c r="K43" s="326"/>
      <c r="L43" s="326"/>
      <c r="M43" s="326"/>
      <c r="N43" s="326"/>
      <c r="O43" s="326"/>
      <c r="P43" s="326"/>
      <c r="Q43" s="326"/>
      <c r="R43" s="326"/>
      <c r="S43" s="326"/>
      <c r="T43" s="326"/>
      <c r="U43" s="326"/>
      <c r="V43" s="326"/>
      <c r="W43" s="326"/>
      <c r="X43" s="326"/>
      <c r="Y43" s="326"/>
      <c r="Z43" s="326"/>
      <c r="AA43" s="326"/>
      <c r="AB43" s="326"/>
      <c r="AC43" s="326"/>
      <c r="AD43" s="326"/>
      <c r="AE43" s="326"/>
      <c r="AF43" s="326"/>
      <c r="AG43" s="326"/>
      <c r="AH43" s="326"/>
      <c r="AI43" s="326"/>
      <c r="AJ43" s="326"/>
      <c r="AK43" s="326"/>
      <c r="AL43" s="326"/>
      <c r="AM43" s="326"/>
      <c r="AN43" s="326"/>
      <c r="AO43" s="326"/>
      <c r="AP43" s="326"/>
      <c r="AQ43" s="326"/>
      <c r="AR43" s="326"/>
      <c r="AS43" s="326"/>
      <c r="AT43" s="276"/>
    </row>
    <row r="44" spans="1:47" s="31" customFormat="1" ht="15" customHeight="1" x14ac:dyDescent="0.35">
      <c r="A44" s="2"/>
      <c r="B44" s="2"/>
      <c r="C44" s="370"/>
      <c r="D44" s="370"/>
      <c r="E44" s="370"/>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76"/>
    </row>
    <row r="45" spans="1:47" s="31" customFormat="1" ht="15" customHeight="1" x14ac:dyDescent="0.35">
      <c r="A45" s="2"/>
      <c r="B45" s="415" t="s">
        <v>216</v>
      </c>
      <c r="C45" s="416"/>
      <c r="D45" s="416"/>
      <c r="E45" s="417"/>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76"/>
    </row>
    <row r="46" spans="1:47" s="31" customFormat="1" ht="15" customHeight="1" x14ac:dyDescent="0.35">
      <c r="A46" s="2"/>
      <c r="B46" s="418"/>
      <c r="C46" s="419"/>
      <c r="D46" s="419"/>
      <c r="E46" s="420"/>
      <c r="F46" s="2"/>
      <c r="G46" s="2"/>
      <c r="H46" s="358"/>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76"/>
    </row>
    <row r="47" spans="1:47" s="31" customFormat="1" ht="15" customHeight="1" x14ac:dyDescent="0.35">
      <c r="A47" s="2"/>
      <c r="B47" s="418"/>
      <c r="C47" s="419"/>
      <c r="D47" s="419"/>
      <c r="E47" s="420"/>
      <c r="F47" s="2"/>
      <c r="G47" s="2"/>
      <c r="H47" s="358"/>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76"/>
    </row>
    <row r="48" spans="1:47" s="31" customFormat="1" ht="14.5" customHeight="1" x14ac:dyDescent="0.35">
      <c r="A48" s="2"/>
      <c r="B48" s="359" t="s">
        <v>217</v>
      </c>
      <c r="C48" s="360"/>
      <c r="D48" s="360"/>
      <c r="E48" s="361">
        <v>0.5</v>
      </c>
      <c r="F48" s="2"/>
      <c r="G48" s="2"/>
      <c r="H48" s="358"/>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76"/>
    </row>
    <row r="49" spans="1:46" s="31" customFormat="1" x14ac:dyDescent="0.35">
      <c r="A49" s="2"/>
      <c r="B49" s="2"/>
      <c r="C49" s="2"/>
      <c r="D49" s="2"/>
      <c r="E49" s="2"/>
      <c r="F49" s="2"/>
      <c r="G49" s="362"/>
      <c r="H49" s="363"/>
      <c r="I49" s="364"/>
      <c r="J49" s="362"/>
      <c r="K49" s="362"/>
      <c r="L49" s="362"/>
      <c r="M49" s="365"/>
      <c r="N49" s="364"/>
      <c r="O49" s="364"/>
      <c r="P49" s="364"/>
      <c r="Q49" s="364"/>
      <c r="R49" s="364"/>
      <c r="S49" s="364"/>
      <c r="T49" s="364"/>
      <c r="U49" s="364"/>
      <c r="V49" s="364"/>
      <c r="W49" s="364"/>
      <c r="X49" s="364"/>
      <c r="Y49" s="364"/>
      <c r="Z49" s="364"/>
      <c r="AA49" s="364"/>
      <c r="AB49" s="364"/>
      <c r="AC49" s="364"/>
      <c r="AD49" s="364"/>
      <c r="AE49" s="364"/>
      <c r="AF49" s="364"/>
      <c r="AG49" s="364"/>
      <c r="AH49" s="364"/>
      <c r="AI49" s="364"/>
      <c r="AJ49" s="364"/>
      <c r="AK49" s="364"/>
      <c r="AL49" s="364"/>
      <c r="AM49" s="364"/>
      <c r="AN49" s="364"/>
      <c r="AO49" s="364"/>
      <c r="AP49" s="364"/>
      <c r="AQ49" s="364"/>
      <c r="AR49" s="364"/>
      <c r="AS49" s="364"/>
      <c r="AT49" s="276"/>
    </row>
    <row r="50" spans="1:46" x14ac:dyDescent="0.35">
      <c r="A50" s="366" t="s">
        <v>218</v>
      </c>
      <c r="B50" s="367"/>
      <c r="C50" s="367"/>
      <c r="D50" s="367"/>
      <c r="E50" s="367"/>
      <c r="F50" s="367"/>
      <c r="G50" s="46"/>
      <c r="H50" s="46"/>
      <c r="I50" s="46"/>
      <c r="J50" s="46"/>
      <c r="K50" s="46"/>
      <c r="L50" s="46"/>
      <c r="M50" s="368"/>
      <c r="N50" s="368"/>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261"/>
    </row>
    <row r="51" spans="1:46" x14ac:dyDescent="0.35">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261"/>
    </row>
    <row r="52" spans="1:46" x14ac:dyDescent="0.35">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261"/>
    </row>
    <row r="53" spans="1:46" x14ac:dyDescent="0.35">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261"/>
    </row>
    <row r="54" spans="1:46" x14ac:dyDescent="0.35">
      <c r="A54" s="46"/>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261"/>
    </row>
    <row r="55" spans="1:46" x14ac:dyDescent="0.35">
      <c r="A55" s="46"/>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261"/>
    </row>
    <row r="56" spans="1:46" x14ac:dyDescent="0.35">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261"/>
    </row>
    <row r="57" spans="1:46" x14ac:dyDescent="0.35">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261"/>
    </row>
    <row r="58" spans="1:46" x14ac:dyDescent="0.35">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261"/>
    </row>
    <row r="59" spans="1:46" x14ac:dyDescent="0.35">
      <c r="A59" s="46"/>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261"/>
    </row>
    <row r="60" spans="1:46" x14ac:dyDescent="0.35">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261"/>
    </row>
    <row r="61" spans="1:46" x14ac:dyDescent="0.35">
      <c r="A61" s="46"/>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261"/>
    </row>
    <row r="62" spans="1:46" x14ac:dyDescent="0.35">
      <c r="A62" s="46"/>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261"/>
    </row>
    <row r="63" spans="1:46" x14ac:dyDescent="0.35">
      <c r="A63" s="46"/>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261"/>
    </row>
    <row r="64" spans="1:46" x14ac:dyDescent="0.35">
      <c r="A64" s="46"/>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261"/>
    </row>
    <row r="65" spans="1:46" x14ac:dyDescent="0.35">
      <c r="A65" s="46"/>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261"/>
    </row>
    <row r="66" spans="1:46" x14ac:dyDescent="0.35">
      <c r="A66" s="46"/>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261"/>
    </row>
    <row r="67" spans="1:46" x14ac:dyDescent="0.35">
      <c r="A67" s="46"/>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261"/>
    </row>
    <row r="68" spans="1:46" x14ac:dyDescent="0.35">
      <c r="A68" s="46"/>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261"/>
    </row>
    <row r="69" spans="1:46" x14ac:dyDescent="0.35">
      <c r="A69" s="46"/>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261"/>
    </row>
    <row r="70" spans="1:46" x14ac:dyDescent="0.35">
      <c r="A70" s="46"/>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261"/>
    </row>
    <row r="71" spans="1:46" x14ac:dyDescent="0.35">
      <c r="A71" s="46"/>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261"/>
    </row>
    <row r="72" spans="1:46" x14ac:dyDescent="0.35">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261"/>
    </row>
    <row r="73" spans="1:46" x14ac:dyDescent="0.35">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261"/>
    </row>
    <row r="74" spans="1:46" x14ac:dyDescent="0.35">
      <c r="A74" s="46"/>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261"/>
    </row>
    <row r="75" spans="1:46" x14ac:dyDescent="0.35">
      <c r="A75" s="46"/>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261"/>
    </row>
    <row r="76" spans="1:46" x14ac:dyDescent="0.35">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261"/>
    </row>
    <row r="77" spans="1:46" x14ac:dyDescent="0.35">
      <c r="A77" s="46"/>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261"/>
    </row>
    <row r="78" spans="1:46" x14ac:dyDescent="0.35">
      <c r="A78" s="46"/>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261"/>
    </row>
    <row r="79" spans="1:46" x14ac:dyDescent="0.35">
      <c r="A79" s="46"/>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261"/>
    </row>
    <row r="80" spans="1:46" x14ac:dyDescent="0.35">
      <c r="A80" s="46"/>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261"/>
    </row>
    <row r="81" spans="1:46" x14ac:dyDescent="0.35">
      <c r="A81" s="46"/>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261"/>
    </row>
  </sheetData>
  <mergeCells count="10">
    <mergeCell ref="D3:F3"/>
    <mergeCell ref="B4:I9"/>
    <mergeCell ref="B24:E24"/>
    <mergeCell ref="B25:C26"/>
    <mergeCell ref="B31:C31"/>
    <mergeCell ref="B32:C32"/>
    <mergeCell ref="B33:C33"/>
    <mergeCell ref="B34:C42"/>
    <mergeCell ref="G36:G39"/>
    <mergeCell ref="B45:E47"/>
  </mergeCells>
  <pageMargins left="0.7" right="0.7" top="0.75" bottom="0.75" header="0.3" footer="0.3"/>
  <pageSetup paperSize="5" scale="2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E1517-BD81-4F80-A2DA-2C12CD2DEA50}">
  <sheetPr>
    <pageSetUpPr fitToPage="1"/>
  </sheetPr>
  <dimension ref="A1:AR67"/>
  <sheetViews>
    <sheetView zoomScale="110" zoomScaleNormal="110" workbookViewId="0">
      <pane xSplit="4" ySplit="12" topLeftCell="E13" activePane="bottomRight" state="frozen"/>
      <selection pane="topRight" activeCell="E1" sqref="E1"/>
      <selection pane="bottomLeft" activeCell="A7" sqref="A7"/>
      <selection pane="bottomRight" activeCell="H4" sqref="H4"/>
    </sheetView>
  </sheetViews>
  <sheetFormatPr defaultColWidth="9.1796875" defaultRowHeight="14" outlineLevelCol="1" x14ac:dyDescent="0.3"/>
  <cols>
    <col min="1" max="1" width="47.81640625" style="87" bestFit="1" customWidth="1"/>
    <col min="2" max="2" width="42.1796875" style="85" bestFit="1" customWidth="1"/>
    <col min="3" max="3" width="14.26953125" style="85" hidden="1" customWidth="1"/>
    <col min="4" max="4" width="12.453125" style="85" customWidth="1"/>
    <col min="5" max="5" width="10.81640625" style="85" customWidth="1" outlineLevel="1"/>
    <col min="6" max="6" width="10.26953125" style="85" customWidth="1" outlineLevel="1"/>
    <col min="7" max="7" width="11" style="85" customWidth="1" outlineLevel="1"/>
    <col min="8" max="11" width="11.81640625" style="85" bestFit="1" customWidth="1"/>
    <col min="12" max="12" width="11.81640625" style="86" bestFit="1" customWidth="1"/>
    <col min="13" max="14" width="11.81640625" style="85" bestFit="1" customWidth="1"/>
    <col min="15" max="15" width="12.7265625" style="85" customWidth="1"/>
    <col min="16" max="16" width="12.26953125" style="85" bestFit="1" customWidth="1"/>
    <col min="17" max="17" width="11.81640625" style="85" bestFit="1" customWidth="1"/>
    <col min="18" max="18" width="13" style="85" bestFit="1" customWidth="1"/>
    <col min="19" max="19" width="12.54296875" style="85" bestFit="1" customWidth="1"/>
    <col min="20" max="21" width="11.81640625" style="85" bestFit="1" customWidth="1"/>
    <col min="22" max="22" width="13" style="85" bestFit="1" customWidth="1"/>
    <col min="23" max="23" width="12.54296875" style="85" bestFit="1" customWidth="1"/>
    <col min="24" max="24" width="11.453125" style="85" bestFit="1" customWidth="1"/>
    <col min="25" max="25" width="13" style="85" bestFit="1" customWidth="1"/>
    <col min="26" max="26" width="12.54296875" style="85" bestFit="1" customWidth="1"/>
    <col min="27" max="27" width="11.81640625" style="85" bestFit="1" customWidth="1"/>
    <col min="28" max="28" width="13" style="85" bestFit="1" customWidth="1"/>
    <col min="29" max="29" width="12.54296875" style="85" bestFit="1" customWidth="1"/>
    <col min="30" max="30" width="13" style="85" bestFit="1" customWidth="1"/>
    <col min="31" max="32" width="12.54296875" style="85" bestFit="1" customWidth="1"/>
    <col min="33" max="33" width="13" style="85" bestFit="1" customWidth="1"/>
    <col min="34" max="37" width="12.54296875" style="85" bestFit="1" customWidth="1"/>
    <col min="38" max="38" width="13" style="85" bestFit="1" customWidth="1"/>
    <col min="39" max="43" width="12.54296875" style="85" bestFit="1" customWidth="1"/>
    <col min="44" max="16384" width="9.1796875" style="85"/>
  </cols>
  <sheetData>
    <row r="1" spans="1:43" s="253" customFormat="1" ht="17.5" x14ac:dyDescent="0.35">
      <c r="A1" s="371" t="s">
        <v>219</v>
      </c>
      <c r="L1" s="254"/>
    </row>
    <row r="3" spans="1:43" ht="15" customHeight="1" x14ac:dyDescent="0.3">
      <c r="A3" s="432" t="s">
        <v>220</v>
      </c>
      <c r="B3" s="432"/>
      <c r="C3" s="88"/>
      <c r="D3" s="88"/>
    </row>
    <row r="4" spans="1:43" x14ac:dyDescent="0.3">
      <c r="A4" s="432"/>
      <c r="B4" s="432"/>
      <c r="C4" s="88"/>
      <c r="D4" s="88"/>
    </row>
    <row r="5" spans="1:43" ht="21" customHeight="1" x14ac:dyDescent="0.3">
      <c r="A5" s="432"/>
      <c r="B5" s="432"/>
      <c r="C5" s="88"/>
      <c r="D5" s="88"/>
    </row>
    <row r="6" spans="1:43" x14ac:dyDescent="0.3">
      <c r="A6" s="433" t="s">
        <v>221</v>
      </c>
      <c r="B6" s="433"/>
      <c r="C6" s="89"/>
      <c r="D6" s="88"/>
    </row>
    <row r="7" spans="1:43" x14ac:dyDescent="0.3">
      <c r="A7" s="434" t="s">
        <v>222</v>
      </c>
      <c r="B7" s="434"/>
      <c r="C7" s="90"/>
      <c r="D7" s="88"/>
    </row>
    <row r="9" spans="1:43" x14ac:dyDescent="0.3">
      <c r="A9" s="91" t="s">
        <v>223</v>
      </c>
      <c r="D9" s="92" t="s">
        <v>224</v>
      </c>
      <c r="E9" s="86"/>
      <c r="F9" s="86"/>
      <c r="G9" s="86"/>
      <c r="H9" s="86">
        <v>0</v>
      </c>
      <c r="I9" s="86">
        <v>1</v>
      </c>
      <c r="J9" s="86">
        <v>2</v>
      </c>
      <c r="K9" s="86">
        <v>3</v>
      </c>
      <c r="L9" s="86">
        <v>4</v>
      </c>
      <c r="M9" s="86">
        <v>5</v>
      </c>
      <c r="N9" s="86">
        <v>6</v>
      </c>
      <c r="O9" s="86">
        <v>7</v>
      </c>
      <c r="P9" s="86">
        <v>8</v>
      </c>
      <c r="Q9" s="86">
        <v>9</v>
      </c>
      <c r="R9" s="86">
        <v>10</v>
      </c>
      <c r="S9" s="86">
        <v>11</v>
      </c>
      <c r="T9" s="86">
        <v>12</v>
      </c>
      <c r="U9" s="86">
        <v>13</v>
      </c>
      <c r="V9" s="86">
        <v>14</v>
      </c>
      <c r="W9" s="86">
        <v>15</v>
      </c>
      <c r="X9" s="86">
        <v>16</v>
      </c>
      <c r="Y9" s="86">
        <v>17</v>
      </c>
      <c r="Z9" s="86">
        <v>18</v>
      </c>
      <c r="AA9" s="86">
        <v>19</v>
      </c>
      <c r="AB9" s="86">
        <v>20</v>
      </c>
      <c r="AC9" s="86">
        <v>21</v>
      </c>
      <c r="AD9" s="86">
        <v>22</v>
      </c>
      <c r="AE9" s="86">
        <v>23</v>
      </c>
      <c r="AF9" s="86">
        <v>24</v>
      </c>
      <c r="AG9" s="86">
        <v>25</v>
      </c>
      <c r="AH9" s="86">
        <v>26</v>
      </c>
      <c r="AI9" s="86">
        <v>27</v>
      </c>
      <c r="AJ9" s="86">
        <v>28</v>
      </c>
      <c r="AK9" s="86">
        <v>29</v>
      </c>
      <c r="AL9" s="86">
        <v>30</v>
      </c>
      <c r="AM9" s="86">
        <v>31</v>
      </c>
      <c r="AN9" s="86">
        <v>32</v>
      </c>
      <c r="AO9" s="86">
        <v>33</v>
      </c>
      <c r="AP9" s="86">
        <v>34</v>
      </c>
      <c r="AQ9" s="86">
        <v>35</v>
      </c>
    </row>
    <row r="10" spans="1:43" x14ac:dyDescent="0.3">
      <c r="A10" s="93">
        <f>'Tab 6 - Financial Model'!C3</f>
        <v>17091.509935634462</v>
      </c>
      <c r="D10" s="92" t="s">
        <v>194</v>
      </c>
      <c r="E10" s="86">
        <v>2020</v>
      </c>
      <c r="F10" s="86">
        <v>2021</v>
      </c>
      <c r="G10" s="86">
        <v>2022</v>
      </c>
      <c r="H10" s="86">
        <v>2023</v>
      </c>
      <c r="I10" s="86">
        <v>2024</v>
      </c>
      <c r="J10" s="86">
        <v>2025</v>
      </c>
      <c r="K10" s="86">
        <v>2026</v>
      </c>
      <c r="L10" s="86">
        <v>2027</v>
      </c>
      <c r="M10" s="86">
        <v>2028</v>
      </c>
      <c r="N10" s="86">
        <v>2029</v>
      </c>
      <c r="O10" s="86">
        <v>2030</v>
      </c>
      <c r="P10" s="86">
        <v>2031</v>
      </c>
      <c r="Q10" s="86">
        <v>2032</v>
      </c>
      <c r="R10" s="86">
        <v>2033</v>
      </c>
      <c r="S10" s="86">
        <v>2034</v>
      </c>
      <c r="T10" s="86">
        <v>2035</v>
      </c>
      <c r="U10" s="86">
        <v>2036</v>
      </c>
      <c r="V10" s="86">
        <v>2037</v>
      </c>
      <c r="W10" s="86">
        <v>2038</v>
      </c>
      <c r="X10" s="86">
        <v>2039</v>
      </c>
      <c r="Y10" s="86">
        <v>2040</v>
      </c>
      <c r="Z10" s="86">
        <v>2041</v>
      </c>
      <c r="AA10" s="86">
        <v>2042</v>
      </c>
      <c r="AB10" s="86">
        <v>2043</v>
      </c>
      <c r="AC10" s="86">
        <v>2044</v>
      </c>
      <c r="AD10" s="86">
        <v>2045</v>
      </c>
      <c r="AE10" s="86">
        <v>2046</v>
      </c>
      <c r="AF10" s="86">
        <v>2047</v>
      </c>
      <c r="AG10" s="86">
        <v>2048</v>
      </c>
      <c r="AH10" s="86">
        <v>2049</v>
      </c>
      <c r="AI10" s="86">
        <v>2050</v>
      </c>
      <c r="AJ10" s="86">
        <v>2051</v>
      </c>
      <c r="AK10" s="86">
        <v>2052</v>
      </c>
      <c r="AL10" s="86">
        <v>2053</v>
      </c>
      <c r="AM10" s="86">
        <v>2054</v>
      </c>
      <c r="AN10" s="86">
        <v>2055</v>
      </c>
      <c r="AO10" s="86">
        <v>2056</v>
      </c>
      <c r="AP10" s="86">
        <v>2057</v>
      </c>
      <c r="AQ10" s="86">
        <v>2058</v>
      </c>
    </row>
    <row r="11" spans="1:43" x14ac:dyDescent="0.3">
      <c r="A11" s="94"/>
      <c r="B11" s="95"/>
      <c r="C11" s="95"/>
      <c r="D11" s="95"/>
      <c r="E11" s="95"/>
      <c r="F11" s="95"/>
      <c r="G11" s="95"/>
      <c r="H11" s="95"/>
      <c r="I11" s="95"/>
      <c r="J11" s="95"/>
      <c r="K11" s="95"/>
      <c r="L11" s="96"/>
      <c r="M11" s="95"/>
      <c r="N11" s="95"/>
      <c r="O11" s="95"/>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row>
    <row r="12" spans="1:43" x14ac:dyDescent="0.3">
      <c r="A12" s="189" t="s">
        <v>225</v>
      </c>
      <c r="B12" s="97"/>
      <c r="C12" s="97"/>
      <c r="D12" s="97"/>
      <c r="E12" s="97"/>
      <c r="F12" s="97"/>
      <c r="G12" s="97"/>
      <c r="H12" s="97"/>
      <c r="I12" s="97"/>
      <c r="J12" s="97"/>
      <c r="K12" s="97"/>
      <c r="L12" s="98"/>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c r="AN12" s="97"/>
      <c r="AO12" s="97"/>
      <c r="AP12" s="97"/>
      <c r="AQ12" s="97"/>
    </row>
    <row r="13" spans="1:43" ht="15" customHeight="1" x14ac:dyDescent="0.3">
      <c r="A13" s="99" t="s">
        <v>226</v>
      </c>
      <c r="B13" s="100" t="s">
        <v>227</v>
      </c>
      <c r="C13" s="101"/>
      <c r="D13" s="101"/>
      <c r="E13" s="102"/>
      <c r="F13" s="103"/>
      <c r="G13" s="103"/>
      <c r="H13" s="104">
        <v>21905626</v>
      </c>
      <c r="I13" s="104">
        <v>22962727</v>
      </c>
      <c r="J13" s="103">
        <v>16268586</v>
      </c>
      <c r="K13" s="103">
        <v>6012101</v>
      </c>
      <c r="L13" s="103">
        <f>(17750000-17000000)*(1+'Tab 6 - Financial Model'!$E$25)^'Tab 7 - Bylaw Continuity'!L9</f>
        <v>863306.26008681732</v>
      </c>
      <c r="M13" s="103"/>
      <c r="N13" s="103"/>
      <c r="O13" s="103">
        <f>17750000*(1+'Tab 6 - Financial Model'!$E$25)^'Tab 7 - Bylaw Continuity'!O9</f>
        <v>22705428.59327678</v>
      </c>
      <c r="P13" s="103">
        <f>(22100000-3500000)*(1+'Tab 6 - Financial Model'!$E$25)^P9</f>
        <v>24644510.570514891</v>
      </c>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row>
    <row r="14" spans="1:43" ht="15" customHeight="1" x14ac:dyDescent="0.3">
      <c r="A14" s="190"/>
      <c r="B14" s="87"/>
      <c r="E14" s="105"/>
      <c r="F14" s="106"/>
      <c r="G14" s="106"/>
      <c r="H14" s="107"/>
      <c r="I14" s="107"/>
      <c r="J14" s="106"/>
      <c r="K14" s="106"/>
      <c r="L14" s="106"/>
      <c r="M14" s="106"/>
      <c r="N14" s="106"/>
      <c r="O14" s="106"/>
      <c r="P14" s="106"/>
      <c r="Q14" s="106"/>
      <c r="R14" s="106"/>
      <c r="S14" s="106"/>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row>
    <row r="15" spans="1:43" ht="15" customHeight="1" x14ac:dyDescent="0.3">
      <c r="A15" s="191">
        <v>1</v>
      </c>
      <c r="B15" s="87" t="str">
        <f>'Tab 6 - Financial Model'!B14</f>
        <v>Belvedere Fire Station</v>
      </c>
      <c r="D15" s="109">
        <f>'Tab 6 - Financial Model'!I14</f>
        <v>8</v>
      </c>
      <c r="E15" s="110">
        <f>IF(AND($D15=E$9,$B15='Tab 6 - Financial Model'!$B14),('Tab 6 - Financial Model'!$D14*(1+'Tab 6 - Financial Model'!$E$25)^'Tab 7 - Bylaw Continuity'!E$9),0)</f>
        <v>0</v>
      </c>
      <c r="F15" s="110">
        <f>IF(AND($D15=F$9,$B15='Tab 6 - Financial Model'!$B14),('Tab 6 - Financial Model'!$D14*(1+'Tab 6 - Financial Model'!$E$25)^'Tab 7 - Bylaw Continuity'!F$9),0)</f>
        <v>0</v>
      </c>
      <c r="G15" s="110">
        <f>IF(AND($D15=G$9,$B15='Tab 6 - Financial Model'!$B14),('Tab 6 - Financial Model'!$D14*(1+'Tab 6 - Financial Model'!$E$25)^'Tab 7 - Bylaw Continuity'!G$9),0)</f>
        <v>0</v>
      </c>
      <c r="H15" s="110">
        <f>IF(AND($D15=H$9,$B15='Tab 6 - Financial Model'!$B14),('Tab 6 - Financial Model'!$D14*(1+'Tab 6 - Financial Model'!$E$25)^'Tab 7 - Bylaw Continuity'!H$9),0)</f>
        <v>0</v>
      </c>
      <c r="I15" s="110">
        <f>IF(AND($D15=I$9,$B15='Tab 6 - Financial Model'!$B14),('Tab 6 - Financial Model'!$D14*(1+'Tab 6 - Financial Model'!$E$25)^'Tab 7 - Bylaw Continuity'!I$9),0)</f>
        <v>0</v>
      </c>
      <c r="J15" s="110">
        <f>IF(AND($D15=J$9,$B15='Tab 6 - Financial Model'!$B14),('Tab 6 - Financial Model'!$D14*(1+'Tab 6 - Financial Model'!$E$25)^'Tab 7 - Bylaw Continuity'!J$9),0)</f>
        <v>0</v>
      </c>
      <c r="K15" s="110">
        <f>IF(AND($D15=K$9,$B15='Tab 6 - Financial Model'!$B14),('Tab 6 - Financial Model'!$D14*(1+'Tab 6 - Financial Model'!$E$25)^'Tab 7 - Bylaw Continuity'!K$9),0)</f>
        <v>0</v>
      </c>
      <c r="L15" s="110">
        <f>IF(AND($D15=L$9,$B15='Tab 6 - Financial Model'!$B14),('Tab 6 - Financial Model'!$D14*(1+'Tab 6 - Financial Model'!$E$25)^'Tab 7 - Bylaw Continuity'!L$9),0)</f>
        <v>0</v>
      </c>
      <c r="M15" s="110">
        <f>IF(AND($D15=M$9,$B15='Tab 6 - Financial Model'!$B14),('Tab 6 - Financial Model'!$D14*(1+'Tab 6 - Financial Model'!$E$25)^'Tab 7 - Bylaw Continuity'!M$9),0)</f>
        <v>0</v>
      </c>
      <c r="N15" s="110">
        <f>IF(AND($D15=N$9,$B15='Tab 6 - Financial Model'!$B14),('Tab 6 - Financial Model'!$D14*(1+'Tab 6 - Financial Model'!$E$25)^'Tab 7 - Bylaw Continuity'!N$9),0)</f>
        <v>0</v>
      </c>
      <c r="O15" s="110">
        <f>IF(AND($D15=O$9,$B15='Tab 6 - Financial Model'!$B14),('Tab 6 - Financial Model'!$D14*(1+'Tab 6 - Financial Model'!$E$25)^'Tab 7 - Bylaw Continuity'!O$9),0)</f>
        <v>0</v>
      </c>
      <c r="P15" s="110">
        <f>IF(AND($D15=P$9,$B15='Tab 6 - Financial Model'!$B14),('Tab 6 - Financial Model'!$D14*(1+'Tab 6 - Financial Model'!$E$25)^'Tab 7 - Bylaw Continuity'!P$9),0)</f>
        <v>36171781.643820241</v>
      </c>
      <c r="Q15" s="110">
        <f>IF(AND($D15=Q$9,$B15='Tab 6 - Financial Model'!$B14),('Tab 6 - Financial Model'!$D14*(1+'Tab 6 - Financial Model'!$E$25)^'Tab 7 - Bylaw Continuity'!Q$9),0)</f>
        <v>0</v>
      </c>
      <c r="R15" s="110">
        <f>IF(AND($D15=R$9,$B15='Tab 6 - Financial Model'!$B14),('Tab 6 - Financial Model'!$D14*(1+'Tab 6 - Financial Model'!$E$25)^'Tab 7 - Bylaw Continuity'!R$9),0)</f>
        <v>0</v>
      </c>
      <c r="S15" s="110">
        <f>IF(AND($D15=S$9,$B15='Tab 6 - Financial Model'!$B14),('Tab 6 - Financial Model'!$D14*(1+'Tab 6 - Financial Model'!$E$25)^'Tab 7 - Bylaw Continuity'!S$9),0)</f>
        <v>0</v>
      </c>
      <c r="T15" s="110">
        <f>IF(AND($D15=T$9,$B15='Tab 6 - Financial Model'!$B14),('Tab 6 - Financial Model'!$D14*(1+'Tab 6 - Financial Model'!$E$25)^'Tab 7 - Bylaw Continuity'!T$9),0)</f>
        <v>0</v>
      </c>
      <c r="U15" s="110">
        <f>IF(AND($D15=U$9,$B15='Tab 6 - Financial Model'!$B14),('Tab 6 - Financial Model'!$D14*(1+'Tab 6 - Financial Model'!$E$25)^'Tab 7 - Bylaw Continuity'!U$9),0)</f>
        <v>0</v>
      </c>
      <c r="V15" s="110">
        <f>IF(AND($D15=V$9,$B15='Tab 6 - Financial Model'!$B14),('Tab 6 - Financial Model'!$D14*(1+'Tab 6 - Financial Model'!$E$25)^'Tab 7 - Bylaw Continuity'!V$9),0)</f>
        <v>0</v>
      </c>
      <c r="W15" s="110">
        <f>IF(AND($D15=W$9,$B15='Tab 6 - Financial Model'!$B14),('Tab 6 - Financial Model'!$D14*(1+'Tab 6 - Financial Model'!$E$25)^'Tab 7 - Bylaw Continuity'!W$9),0)</f>
        <v>0</v>
      </c>
      <c r="X15" s="110">
        <f>IF(AND($D15=X$9,$B15='Tab 6 - Financial Model'!$B14),('Tab 6 - Financial Model'!$D14*(1+'Tab 6 - Financial Model'!$E$25)^'Tab 7 - Bylaw Continuity'!X$9),0)</f>
        <v>0</v>
      </c>
      <c r="Y15" s="110">
        <f>IF(AND($D15=Y$9,$B15='Tab 6 - Financial Model'!$B14),('Tab 6 - Financial Model'!$D14*(1+'Tab 6 - Financial Model'!$E$25)^'Tab 7 - Bylaw Continuity'!Y$9),0)</f>
        <v>0</v>
      </c>
      <c r="Z15" s="110">
        <f>IF(AND($D15=Z$9,$B15='Tab 6 - Financial Model'!$B14),('Tab 6 - Financial Model'!$D14*(1+'Tab 6 - Financial Model'!$E$25)^'Tab 7 - Bylaw Continuity'!Z$9),0)</f>
        <v>0</v>
      </c>
      <c r="AA15" s="110">
        <f>IF(AND($D15=AA$9,$B15='Tab 6 - Financial Model'!$B14),('Tab 6 - Financial Model'!$D14*(1+'Tab 6 - Financial Model'!$E$25)^'Tab 7 - Bylaw Continuity'!AA$9),0)</f>
        <v>0</v>
      </c>
      <c r="AB15" s="110">
        <f>IF(AND($D15=AB$9,$B15='Tab 6 - Financial Model'!$B14),('Tab 6 - Financial Model'!$D14*(1+'Tab 6 - Financial Model'!$E$25)^'Tab 7 - Bylaw Continuity'!AB$9),0)</f>
        <v>0</v>
      </c>
      <c r="AC15" s="110">
        <f>IF(AND($D15=AC$9,$B15='Tab 6 - Financial Model'!$B14),('Tab 6 - Financial Model'!$D14*(1+'Tab 6 - Financial Model'!$E$25)^'Tab 7 - Bylaw Continuity'!AC$9),0)</f>
        <v>0</v>
      </c>
      <c r="AD15" s="110">
        <f>IF(AND($D15=AD$9,$B15='Tab 6 - Financial Model'!$B14),('Tab 6 - Financial Model'!$D14*(1+'Tab 6 - Financial Model'!$E$25)^'Tab 7 - Bylaw Continuity'!AD$9),0)</f>
        <v>0</v>
      </c>
      <c r="AE15" s="110">
        <f>IF(AND($D15=AE$9,$B15='Tab 6 - Financial Model'!$B14),('Tab 6 - Financial Model'!$D14*(1+'Tab 6 - Financial Model'!$E$25)^'Tab 7 - Bylaw Continuity'!AE$9),0)</f>
        <v>0</v>
      </c>
      <c r="AF15" s="110">
        <f>IF(AND($D15=AF$9,$B15='Tab 6 - Financial Model'!$B14),('Tab 6 - Financial Model'!$D14*(1+'Tab 6 - Financial Model'!$E$25)^'Tab 7 - Bylaw Continuity'!AF$9),0)</f>
        <v>0</v>
      </c>
      <c r="AG15" s="110">
        <f>IF(AND($D15=AG$9,$B15='Tab 6 - Financial Model'!$B14),('Tab 6 - Financial Model'!$D14*(1+'Tab 6 - Financial Model'!$E$25)^'Tab 7 - Bylaw Continuity'!AG$9),0)</f>
        <v>0</v>
      </c>
      <c r="AH15" s="110">
        <f>IF(AND($D15=AH$9,$B15='Tab 6 - Financial Model'!$B14),('Tab 6 - Financial Model'!$D14*(1+'Tab 6 - Financial Model'!$E$25)^'Tab 7 - Bylaw Continuity'!AH$9),0)</f>
        <v>0</v>
      </c>
      <c r="AI15" s="110">
        <f>IF(AND($D15=AI$9,$B15='Tab 6 - Financial Model'!$B14),('Tab 6 - Financial Model'!$D14*(1+'Tab 6 - Financial Model'!$E$25)^'Tab 7 - Bylaw Continuity'!AI$9),0)</f>
        <v>0</v>
      </c>
      <c r="AJ15" s="110">
        <f>IF(AND($D15=AJ$9,$B15='Tab 6 - Financial Model'!$B14),('Tab 6 - Financial Model'!$D14*(1+'Tab 6 - Financial Model'!$E$25)^'Tab 7 - Bylaw Continuity'!AJ$9),0)</f>
        <v>0</v>
      </c>
      <c r="AK15" s="110">
        <f>IF(AND($D15=AK$9,$B15='Tab 6 - Financial Model'!$B14),('Tab 6 - Financial Model'!$D14*(1+'Tab 6 - Financial Model'!$E$25)^'Tab 7 - Bylaw Continuity'!AK$9),0)</f>
        <v>0</v>
      </c>
      <c r="AL15" s="110">
        <f>IF(AND($D15=AL$9,$B15='Tab 6 - Financial Model'!$B14),('Tab 6 - Financial Model'!$D14*(1+'Tab 6 - Financial Model'!$E$25)^'Tab 7 - Bylaw Continuity'!AL$9),0)</f>
        <v>0</v>
      </c>
      <c r="AM15" s="110">
        <f>IF(AND($D15=AM$9,$B15='Tab 6 - Financial Model'!$B14),('Tab 6 - Financial Model'!$D14*(1+'Tab 6 - Financial Model'!$E$25)^'Tab 7 - Bylaw Continuity'!AM$9),0)</f>
        <v>0</v>
      </c>
      <c r="AN15" s="110">
        <f>IF(AND($D15=AN$9,$B15='Tab 6 - Financial Model'!$B14),('Tab 6 - Financial Model'!$D14*(1+'Tab 6 - Financial Model'!$E$25)^'Tab 7 - Bylaw Continuity'!AN$9),0)</f>
        <v>0</v>
      </c>
      <c r="AO15" s="110">
        <f>IF(AND($D15=AO$9,$B15='Tab 6 - Financial Model'!$B14),('Tab 6 - Financial Model'!$D14*(1+'Tab 6 - Financial Model'!$E$25)^'Tab 7 - Bylaw Continuity'!AO$9),0)</f>
        <v>0</v>
      </c>
      <c r="AP15" s="110">
        <f>IF(AND($D15=AP$9,$B15='Tab 6 - Financial Model'!$B14),('Tab 6 - Financial Model'!$D14*(1+'Tab 6 - Financial Model'!$E$25)^'Tab 7 - Bylaw Continuity'!AP$9),0)</f>
        <v>0</v>
      </c>
      <c r="AQ15" s="110">
        <f>IF(AND($D15=AQ$9,$B15='Tab 6 - Financial Model'!$B14),('Tab 6 - Financial Model'!$D14*(1+'Tab 6 - Financial Model'!$E$25)^'Tab 7 - Bylaw Continuity'!AQ$9),0)</f>
        <v>0</v>
      </c>
    </row>
    <row r="16" spans="1:43" ht="15" customHeight="1" x14ac:dyDescent="0.3">
      <c r="A16" s="191"/>
      <c r="B16" s="111" t="s">
        <v>228</v>
      </c>
      <c r="C16" s="112"/>
      <c r="D16" s="198">
        <f>SUMIF('Tab 6 - Financial Model'!$B$14:$B$21,'Tab 7 - Bylaw Continuity'!B15,'Tab 6 - Financial Model'!$F$14:$F$21)</f>
        <v>0.95</v>
      </c>
      <c r="E16" s="114">
        <f>E15*$D16</f>
        <v>0</v>
      </c>
      <c r="F16" s="115">
        <f t="shared" ref="F16:AQ16" si="0">F15*$D16</f>
        <v>0</v>
      </c>
      <c r="G16" s="115">
        <f t="shared" si="0"/>
        <v>0</v>
      </c>
      <c r="H16" s="115">
        <f t="shared" si="0"/>
        <v>0</v>
      </c>
      <c r="I16" s="115">
        <f t="shared" si="0"/>
        <v>0</v>
      </c>
      <c r="J16" s="115">
        <f t="shared" si="0"/>
        <v>0</v>
      </c>
      <c r="K16" s="115">
        <f t="shared" si="0"/>
        <v>0</v>
      </c>
      <c r="L16" s="115">
        <f t="shared" si="0"/>
        <v>0</v>
      </c>
      <c r="M16" s="115">
        <f t="shared" si="0"/>
        <v>0</v>
      </c>
      <c r="N16" s="115">
        <f t="shared" si="0"/>
        <v>0</v>
      </c>
      <c r="O16" s="115">
        <f t="shared" si="0"/>
        <v>0</v>
      </c>
      <c r="P16" s="115">
        <f t="shared" si="0"/>
        <v>34363192.561629228</v>
      </c>
      <c r="Q16" s="115">
        <f t="shared" si="0"/>
        <v>0</v>
      </c>
      <c r="R16" s="115">
        <f t="shared" si="0"/>
        <v>0</v>
      </c>
      <c r="S16" s="115">
        <f t="shared" si="0"/>
        <v>0</v>
      </c>
      <c r="T16" s="115">
        <f t="shared" si="0"/>
        <v>0</v>
      </c>
      <c r="U16" s="115">
        <f t="shared" si="0"/>
        <v>0</v>
      </c>
      <c r="V16" s="115">
        <f t="shared" si="0"/>
        <v>0</v>
      </c>
      <c r="W16" s="115">
        <f t="shared" si="0"/>
        <v>0</v>
      </c>
      <c r="X16" s="115">
        <f t="shared" si="0"/>
        <v>0</v>
      </c>
      <c r="Y16" s="115">
        <f t="shared" si="0"/>
        <v>0</v>
      </c>
      <c r="Z16" s="115">
        <f t="shared" si="0"/>
        <v>0</v>
      </c>
      <c r="AA16" s="115">
        <f t="shared" si="0"/>
        <v>0</v>
      </c>
      <c r="AB16" s="115">
        <f t="shared" si="0"/>
        <v>0</v>
      </c>
      <c r="AC16" s="115">
        <f t="shared" si="0"/>
        <v>0</v>
      </c>
      <c r="AD16" s="115">
        <f t="shared" si="0"/>
        <v>0</v>
      </c>
      <c r="AE16" s="115">
        <f t="shared" si="0"/>
        <v>0</v>
      </c>
      <c r="AF16" s="115">
        <f t="shared" si="0"/>
        <v>0</v>
      </c>
      <c r="AG16" s="115">
        <f t="shared" si="0"/>
        <v>0</v>
      </c>
      <c r="AH16" s="115">
        <f t="shared" si="0"/>
        <v>0</v>
      </c>
      <c r="AI16" s="115">
        <f t="shared" si="0"/>
        <v>0</v>
      </c>
      <c r="AJ16" s="115">
        <f t="shared" si="0"/>
        <v>0</v>
      </c>
      <c r="AK16" s="115">
        <f t="shared" si="0"/>
        <v>0</v>
      </c>
      <c r="AL16" s="115">
        <f t="shared" si="0"/>
        <v>0</v>
      </c>
      <c r="AM16" s="115">
        <f t="shared" si="0"/>
        <v>0</v>
      </c>
      <c r="AN16" s="115">
        <f t="shared" si="0"/>
        <v>0</v>
      </c>
      <c r="AO16" s="115">
        <f t="shared" si="0"/>
        <v>0</v>
      </c>
      <c r="AP16" s="115">
        <f t="shared" si="0"/>
        <v>0</v>
      </c>
      <c r="AQ16" s="115">
        <f t="shared" si="0"/>
        <v>0</v>
      </c>
    </row>
    <row r="17" spans="1:43" ht="15" customHeight="1" x14ac:dyDescent="0.3">
      <c r="A17" s="191"/>
      <c r="B17" s="116" t="s">
        <v>229</v>
      </c>
      <c r="C17" s="97"/>
      <c r="D17" s="97"/>
      <c r="E17" s="117">
        <f>E15-E16</f>
        <v>0</v>
      </c>
      <c r="F17" s="118">
        <f t="shared" ref="F17:AQ17" si="1">F15-F16</f>
        <v>0</v>
      </c>
      <c r="G17" s="118">
        <f t="shared" si="1"/>
        <v>0</v>
      </c>
      <c r="H17" s="118">
        <f t="shared" si="1"/>
        <v>0</v>
      </c>
      <c r="I17" s="118">
        <f t="shared" si="1"/>
        <v>0</v>
      </c>
      <c r="J17" s="118">
        <f t="shared" si="1"/>
        <v>0</v>
      </c>
      <c r="K17" s="118">
        <f t="shared" si="1"/>
        <v>0</v>
      </c>
      <c r="L17" s="118">
        <f t="shared" si="1"/>
        <v>0</v>
      </c>
      <c r="M17" s="118">
        <f t="shared" si="1"/>
        <v>0</v>
      </c>
      <c r="N17" s="118">
        <f t="shared" si="1"/>
        <v>0</v>
      </c>
      <c r="O17" s="118">
        <f t="shared" si="1"/>
        <v>0</v>
      </c>
      <c r="P17" s="118">
        <f t="shared" si="1"/>
        <v>1808589.0821910128</v>
      </c>
      <c r="Q17" s="118">
        <f t="shared" si="1"/>
        <v>0</v>
      </c>
      <c r="R17" s="118">
        <f t="shared" si="1"/>
        <v>0</v>
      </c>
      <c r="S17" s="118">
        <f t="shared" si="1"/>
        <v>0</v>
      </c>
      <c r="T17" s="118">
        <f t="shared" si="1"/>
        <v>0</v>
      </c>
      <c r="U17" s="118">
        <f t="shared" si="1"/>
        <v>0</v>
      </c>
      <c r="V17" s="118">
        <f t="shared" si="1"/>
        <v>0</v>
      </c>
      <c r="W17" s="118">
        <f t="shared" si="1"/>
        <v>0</v>
      </c>
      <c r="X17" s="118">
        <f t="shared" si="1"/>
        <v>0</v>
      </c>
      <c r="Y17" s="118">
        <f t="shared" si="1"/>
        <v>0</v>
      </c>
      <c r="Z17" s="118">
        <f t="shared" si="1"/>
        <v>0</v>
      </c>
      <c r="AA17" s="118">
        <f t="shared" si="1"/>
        <v>0</v>
      </c>
      <c r="AB17" s="118">
        <f t="shared" si="1"/>
        <v>0</v>
      </c>
      <c r="AC17" s="118">
        <f t="shared" si="1"/>
        <v>0</v>
      </c>
      <c r="AD17" s="118">
        <f t="shared" si="1"/>
        <v>0</v>
      </c>
      <c r="AE17" s="118">
        <f t="shared" si="1"/>
        <v>0</v>
      </c>
      <c r="AF17" s="118">
        <f t="shared" si="1"/>
        <v>0</v>
      </c>
      <c r="AG17" s="118">
        <f t="shared" si="1"/>
        <v>0</v>
      </c>
      <c r="AH17" s="118">
        <f t="shared" si="1"/>
        <v>0</v>
      </c>
      <c r="AI17" s="118">
        <f t="shared" si="1"/>
        <v>0</v>
      </c>
      <c r="AJ17" s="118">
        <f t="shared" si="1"/>
        <v>0</v>
      </c>
      <c r="AK17" s="118">
        <f t="shared" si="1"/>
        <v>0</v>
      </c>
      <c r="AL17" s="118">
        <f t="shared" si="1"/>
        <v>0</v>
      </c>
      <c r="AM17" s="118">
        <f t="shared" si="1"/>
        <v>0</v>
      </c>
      <c r="AN17" s="118">
        <f t="shared" si="1"/>
        <v>0</v>
      </c>
      <c r="AO17" s="118">
        <f t="shared" si="1"/>
        <v>0</v>
      </c>
      <c r="AP17" s="118">
        <f t="shared" si="1"/>
        <v>0</v>
      </c>
      <c r="AQ17" s="118">
        <f t="shared" si="1"/>
        <v>0</v>
      </c>
    </row>
    <row r="18" spans="1:43" ht="15" customHeight="1" x14ac:dyDescent="0.3">
      <c r="A18" s="191">
        <v>2</v>
      </c>
      <c r="B18" s="87" t="str">
        <f>'Tab 6 - Financial Model'!B15</f>
        <v xml:space="preserve">Glacier Ridge Fire station </v>
      </c>
      <c r="D18" s="109">
        <f>'Tab 6 - Financial Model'!I15</f>
        <v>22</v>
      </c>
      <c r="E18" s="110">
        <f>IF(AND($D18=E$9,$B18='Tab 6 - Financial Model'!$B15),('Tab 6 - Financial Model'!$D15*(1+'Tab 6 - Financial Model'!$E$25)^'Tab 7 - Bylaw Continuity'!E$9),0)</f>
        <v>0</v>
      </c>
      <c r="F18" s="110">
        <f>IF(AND($D18=F$9,$B18='Tab 6 - Financial Model'!$B15),('Tab 6 - Financial Model'!$D15*(1+'Tab 6 - Financial Model'!$E$25)^'Tab 7 - Bylaw Continuity'!F$9),0)</f>
        <v>0</v>
      </c>
      <c r="G18" s="110">
        <f>IF(AND($D18=G$9,$B18='Tab 6 - Financial Model'!$B15),('Tab 6 - Financial Model'!$D15*(1+'Tab 6 - Financial Model'!$E$25)^'Tab 7 - Bylaw Continuity'!G$9),0)</f>
        <v>0</v>
      </c>
      <c r="H18" s="110">
        <f>IF(AND($D18=H$9,$B18='Tab 6 - Financial Model'!$B15),('Tab 6 - Financial Model'!$D15*(1+'Tab 6 - Financial Model'!$E$25)^'Tab 7 - Bylaw Continuity'!H$9),0)</f>
        <v>0</v>
      </c>
      <c r="I18" s="110">
        <f>IF(AND($D18=I$9,$B18='Tab 6 - Financial Model'!$B15),('Tab 6 - Financial Model'!$D15*(1+'Tab 6 - Financial Model'!$E$25)^'Tab 7 - Bylaw Continuity'!I$9),0)</f>
        <v>0</v>
      </c>
      <c r="J18" s="110">
        <f>IF(AND($D18=J$9,$B18='Tab 6 - Financial Model'!$B15),('Tab 6 - Financial Model'!$D15*(1+'Tab 6 - Financial Model'!$E$25)^'Tab 7 - Bylaw Continuity'!J$9),0)</f>
        <v>0</v>
      </c>
      <c r="K18" s="110">
        <f>IF(AND($D18=K$9,$B18='Tab 6 - Financial Model'!$B15),('Tab 6 - Financial Model'!$D15*(1+'Tab 6 - Financial Model'!$E$25)^'Tab 7 - Bylaw Continuity'!K$9),0)</f>
        <v>0</v>
      </c>
      <c r="L18" s="110">
        <f>IF(AND($D18=L$9,$B18='Tab 6 - Financial Model'!$B15),('Tab 6 - Financial Model'!$D15*(1+'Tab 6 - Financial Model'!$E$25)^'Tab 7 - Bylaw Continuity'!L$9),0)</f>
        <v>0</v>
      </c>
      <c r="M18" s="110">
        <f>IF(AND($D18=M$9,$B18='Tab 6 - Financial Model'!$B15),('Tab 6 - Financial Model'!$D15*(1+'Tab 6 - Financial Model'!$E$25)^'Tab 7 - Bylaw Continuity'!M$9),0)</f>
        <v>0</v>
      </c>
      <c r="N18" s="110">
        <f>IF(AND($D18=N$9,$B18='Tab 6 - Financial Model'!$B15),('Tab 6 - Financial Model'!$D15*(1+'Tab 6 - Financial Model'!$E$25)^'Tab 7 - Bylaw Continuity'!N$9),0)</f>
        <v>0</v>
      </c>
      <c r="O18" s="110">
        <f>IF(AND($D18=O$9,$B18='Tab 6 - Financial Model'!$B15),('Tab 6 - Financial Model'!$D15*(1+'Tab 6 - Financial Model'!$E$25)^'Tab 7 - Bylaw Continuity'!O$9),0)</f>
        <v>0</v>
      </c>
      <c r="P18" s="110">
        <f>IF(AND($D18=P$9,$B18='Tab 6 - Financial Model'!$B15),('Tab 6 - Financial Model'!$D15*(1+'Tab 6 - Financial Model'!$E$25)^'Tab 7 - Bylaw Continuity'!P$9),0)</f>
        <v>0</v>
      </c>
      <c r="Q18" s="110">
        <f>IF(AND($D18=Q$9,$B18='Tab 6 - Financial Model'!$B15),('Tab 6 - Financial Model'!$D15*(1+'Tab 6 - Financial Model'!$E$25)^'Tab 7 - Bylaw Continuity'!Q$9),0)</f>
        <v>0</v>
      </c>
      <c r="R18" s="110">
        <f>IF(AND($D18=R$9,$B18='Tab 6 - Financial Model'!$B15),('Tab 6 - Financial Model'!$D15*(1+'Tab 6 - Financial Model'!$E$25)^'Tab 7 - Bylaw Continuity'!R$9),0)</f>
        <v>0</v>
      </c>
      <c r="S18" s="110">
        <f>IF(AND($D18=S$9,$B18='Tab 6 - Financial Model'!$B15),('Tab 6 - Financial Model'!$D15*(1+'Tab 6 - Financial Model'!$E$25)^'Tab 7 - Bylaw Continuity'!S$9),0)</f>
        <v>0</v>
      </c>
      <c r="T18" s="110">
        <f>IF(AND($D18=T$9,$B18='Tab 6 - Financial Model'!$B15),('Tab 6 - Financial Model'!$D15*(1+'Tab 6 - Financial Model'!$E$25)^'Tab 7 - Bylaw Continuity'!T$9),0)</f>
        <v>0</v>
      </c>
      <c r="U18" s="110">
        <f>IF(AND($D18=U$9,$B18='Tab 6 - Financial Model'!$B15),('Tab 6 - Financial Model'!$D15*(1+'Tab 6 - Financial Model'!$E$25)^'Tab 7 - Bylaw Continuity'!U$9),0)</f>
        <v>0</v>
      </c>
      <c r="V18" s="110">
        <f>IF(AND($D18=V$9,$B18='Tab 6 - Financial Model'!$B15),('Tab 6 - Financial Model'!$D15*(1+'Tab 6 - Financial Model'!$E$25)^'Tab 7 - Bylaw Continuity'!V$9),0)</f>
        <v>0</v>
      </c>
      <c r="W18" s="110">
        <f>IF(AND($D18=W$9,$B18='Tab 6 - Financial Model'!$B15),('Tab 6 - Financial Model'!$D15*(1+'Tab 6 - Financial Model'!$E$25)^'Tab 7 - Bylaw Continuity'!W$9),0)</f>
        <v>0</v>
      </c>
      <c r="X18" s="110">
        <f>IF(AND($D18=X$9,$B18='Tab 6 - Financial Model'!$B15),('Tab 6 - Financial Model'!$D15*(1+'Tab 6 - Financial Model'!$E$25)^'Tab 7 - Bylaw Continuity'!X$9),0)</f>
        <v>0</v>
      </c>
      <c r="Y18" s="110">
        <f>IF(AND($D18=Y$9,$B18='Tab 6 - Financial Model'!$B15),('Tab 6 - Financial Model'!$D15*(1+'Tab 6 - Financial Model'!$E$25)^'Tab 7 - Bylaw Continuity'!Y$9),0)</f>
        <v>0</v>
      </c>
      <c r="Z18" s="110">
        <f>IF(AND($D18=Z$9,$B18='Tab 6 - Financial Model'!$B15),('Tab 6 - Financial Model'!$D15*(1+'Tab 6 - Financial Model'!$E$25)^'Tab 7 - Bylaw Continuity'!Z$9),0)</f>
        <v>0</v>
      </c>
      <c r="AA18" s="110">
        <f>IF(AND($D18=AA$9,$B18='Tab 6 - Financial Model'!$B15),('Tab 6 - Financial Model'!$D15*(1+'Tab 6 - Financial Model'!$E$25)^'Tab 7 - Bylaw Continuity'!AA$9),0)</f>
        <v>0</v>
      </c>
      <c r="AB18" s="110">
        <f>IF(AND($D18=AB$9,$B18='Tab 6 - Financial Model'!$B15),('Tab 6 - Financial Model'!$D15*(1+'Tab 6 - Financial Model'!$E$25)^'Tab 7 - Bylaw Continuity'!AB$9),0)</f>
        <v>0</v>
      </c>
      <c r="AC18" s="110">
        <f>IF(AND($D18=AC$9,$B18='Tab 6 - Financial Model'!$B15),('Tab 6 - Financial Model'!$D15*(1+'Tab 6 - Financial Model'!$E$25)^'Tab 7 - Bylaw Continuity'!AC$9),0)</f>
        <v>0</v>
      </c>
      <c r="AD18" s="110">
        <f>IF(AND($D18=AD$9,$B18='Tab 6 - Financial Model'!$B15),('Tab 6 - Financial Model'!$D15*(1+'Tab 6 - Financial Model'!$E$25)^'Tab 7 - Bylaw Continuity'!AD$9),0)</f>
        <v>47913977.06861899</v>
      </c>
      <c r="AE18" s="110">
        <f>IF(AND($D18=AE$9,$B18='Tab 6 - Financial Model'!$B15),('Tab 6 - Financial Model'!$D15*(1+'Tab 6 - Financial Model'!$E$25)^'Tab 7 - Bylaw Continuity'!AE$9),0)</f>
        <v>0</v>
      </c>
      <c r="AF18" s="110">
        <f>IF(AND($D18=AF$9,$B18='Tab 6 - Financial Model'!$B15),('Tab 6 - Financial Model'!$D15*(1+'Tab 6 - Financial Model'!$E$25)^'Tab 7 - Bylaw Continuity'!AF$9),0)</f>
        <v>0</v>
      </c>
      <c r="AG18" s="110">
        <f>IF(AND($D18=AG$9,$B18='Tab 6 - Financial Model'!$B15),('Tab 6 - Financial Model'!$D15*(1+'Tab 6 - Financial Model'!$E$25)^'Tab 7 - Bylaw Continuity'!AG$9),0)</f>
        <v>0</v>
      </c>
      <c r="AH18" s="110">
        <f>IF(AND($D18=AH$9,$B18='Tab 6 - Financial Model'!$B15),('Tab 6 - Financial Model'!$D15*(1+'Tab 6 - Financial Model'!$E$25)^'Tab 7 - Bylaw Continuity'!AH$9),0)</f>
        <v>0</v>
      </c>
      <c r="AI18" s="110">
        <f>IF(AND($D18=AI$9,$B18='Tab 6 - Financial Model'!$B15),('Tab 6 - Financial Model'!$D15*(1+'Tab 6 - Financial Model'!$E$25)^'Tab 7 - Bylaw Continuity'!AI$9),0)</f>
        <v>0</v>
      </c>
      <c r="AJ18" s="110">
        <f>IF(AND($D18=AJ$9,$B18='Tab 6 - Financial Model'!$B15),('Tab 6 - Financial Model'!$D15*(1+'Tab 6 - Financial Model'!$E$25)^'Tab 7 - Bylaw Continuity'!AJ$9),0)</f>
        <v>0</v>
      </c>
      <c r="AK18" s="110">
        <f>IF(AND($D18=AK$9,$B18='Tab 6 - Financial Model'!$B15),('Tab 6 - Financial Model'!$D15*(1+'Tab 6 - Financial Model'!$E$25)^'Tab 7 - Bylaw Continuity'!AK$9),0)</f>
        <v>0</v>
      </c>
      <c r="AL18" s="110">
        <f>IF(AND($D18=AL$9,$B18='Tab 6 - Financial Model'!$B15),('Tab 6 - Financial Model'!$D15*(1+'Tab 6 - Financial Model'!$E$25)^'Tab 7 - Bylaw Continuity'!AL$9),0)</f>
        <v>0</v>
      </c>
      <c r="AM18" s="110">
        <f>IF(AND($D18=AM$9,$B18='Tab 6 - Financial Model'!$B15),('Tab 6 - Financial Model'!$D15*(1+'Tab 6 - Financial Model'!$E$25)^'Tab 7 - Bylaw Continuity'!AM$9),0)</f>
        <v>0</v>
      </c>
      <c r="AN18" s="110">
        <f>IF(AND($D18=AN$9,$B18='Tab 6 - Financial Model'!$B15),('Tab 6 - Financial Model'!$D15*(1+'Tab 6 - Financial Model'!$E$25)^'Tab 7 - Bylaw Continuity'!AN$9),0)</f>
        <v>0</v>
      </c>
      <c r="AO18" s="110">
        <f>IF(AND($D18=AO$9,$B18='Tab 6 - Financial Model'!$B15),('Tab 6 - Financial Model'!$D15*(1+'Tab 6 - Financial Model'!$E$25)^'Tab 7 - Bylaw Continuity'!AO$9),0)</f>
        <v>0</v>
      </c>
      <c r="AP18" s="110">
        <f>IF(AND($D18=AP$9,$B18='Tab 6 - Financial Model'!$B15),('Tab 6 - Financial Model'!$D15*(1+'Tab 6 - Financial Model'!$E$25)^'Tab 7 - Bylaw Continuity'!AP$9),0)</f>
        <v>0</v>
      </c>
      <c r="AQ18" s="110">
        <f>IF(AND($D18=AQ$9,$B18='Tab 6 - Financial Model'!$B15),('Tab 6 - Financial Model'!$D15*(1+'Tab 6 - Financial Model'!$E$25)^'Tab 7 - Bylaw Continuity'!AQ$9),0)</f>
        <v>0</v>
      </c>
    </row>
    <row r="19" spans="1:43" ht="15" customHeight="1" x14ac:dyDescent="0.3">
      <c r="A19" s="191"/>
      <c r="B19" s="111" t="s">
        <v>228</v>
      </c>
      <c r="C19" s="112"/>
      <c r="D19" s="198">
        <f>SUMIF('Tab 6 - Financial Model'!$B$14:$B$21,'Tab 7 - Bylaw Continuity'!B18,'Tab 6 - Financial Model'!$F$14:$F$21)</f>
        <v>0.95</v>
      </c>
      <c r="E19" s="114">
        <f>E18*$D19</f>
        <v>0</v>
      </c>
      <c r="F19" s="115">
        <f t="shared" ref="F19:AQ19" si="2">F18*$D19</f>
        <v>0</v>
      </c>
      <c r="G19" s="115">
        <f t="shared" si="2"/>
        <v>0</v>
      </c>
      <c r="H19" s="115">
        <f t="shared" si="2"/>
        <v>0</v>
      </c>
      <c r="I19" s="115">
        <f t="shared" si="2"/>
        <v>0</v>
      </c>
      <c r="J19" s="115">
        <f t="shared" si="2"/>
        <v>0</v>
      </c>
      <c r="K19" s="115">
        <f t="shared" si="2"/>
        <v>0</v>
      </c>
      <c r="L19" s="115">
        <f t="shared" si="2"/>
        <v>0</v>
      </c>
      <c r="M19" s="115">
        <f t="shared" si="2"/>
        <v>0</v>
      </c>
      <c r="N19" s="115">
        <f t="shared" si="2"/>
        <v>0</v>
      </c>
      <c r="O19" s="115">
        <f t="shared" si="2"/>
        <v>0</v>
      </c>
      <c r="P19" s="115">
        <f t="shared" si="2"/>
        <v>0</v>
      </c>
      <c r="Q19" s="115">
        <f t="shared" si="2"/>
        <v>0</v>
      </c>
      <c r="R19" s="115">
        <f t="shared" si="2"/>
        <v>0</v>
      </c>
      <c r="S19" s="115">
        <f t="shared" si="2"/>
        <v>0</v>
      </c>
      <c r="T19" s="115">
        <f t="shared" si="2"/>
        <v>0</v>
      </c>
      <c r="U19" s="115">
        <f t="shared" si="2"/>
        <v>0</v>
      </c>
      <c r="V19" s="115">
        <f t="shared" si="2"/>
        <v>0</v>
      </c>
      <c r="W19" s="115">
        <f t="shared" si="2"/>
        <v>0</v>
      </c>
      <c r="X19" s="115">
        <f t="shared" si="2"/>
        <v>0</v>
      </c>
      <c r="Y19" s="115">
        <f t="shared" si="2"/>
        <v>0</v>
      </c>
      <c r="Z19" s="115">
        <f t="shared" si="2"/>
        <v>0</v>
      </c>
      <c r="AA19" s="115">
        <f t="shared" si="2"/>
        <v>0</v>
      </c>
      <c r="AB19" s="115">
        <f t="shared" si="2"/>
        <v>0</v>
      </c>
      <c r="AC19" s="115">
        <f t="shared" si="2"/>
        <v>0</v>
      </c>
      <c r="AD19" s="115">
        <f t="shared" si="2"/>
        <v>45518278.215188041</v>
      </c>
      <c r="AE19" s="115">
        <f t="shared" si="2"/>
        <v>0</v>
      </c>
      <c r="AF19" s="115">
        <f t="shared" si="2"/>
        <v>0</v>
      </c>
      <c r="AG19" s="115">
        <f t="shared" si="2"/>
        <v>0</v>
      </c>
      <c r="AH19" s="115">
        <f t="shared" si="2"/>
        <v>0</v>
      </c>
      <c r="AI19" s="115">
        <f t="shared" si="2"/>
        <v>0</v>
      </c>
      <c r="AJ19" s="115">
        <f t="shared" si="2"/>
        <v>0</v>
      </c>
      <c r="AK19" s="115">
        <f t="shared" si="2"/>
        <v>0</v>
      </c>
      <c r="AL19" s="115">
        <f t="shared" si="2"/>
        <v>0</v>
      </c>
      <c r="AM19" s="115">
        <f t="shared" si="2"/>
        <v>0</v>
      </c>
      <c r="AN19" s="115">
        <f t="shared" si="2"/>
        <v>0</v>
      </c>
      <c r="AO19" s="115">
        <f t="shared" si="2"/>
        <v>0</v>
      </c>
      <c r="AP19" s="115">
        <f t="shared" si="2"/>
        <v>0</v>
      </c>
      <c r="AQ19" s="115">
        <f t="shared" si="2"/>
        <v>0</v>
      </c>
    </row>
    <row r="20" spans="1:43" ht="15" customHeight="1" x14ac:dyDescent="0.3">
      <c r="A20" s="191"/>
      <c r="B20" s="116" t="s">
        <v>229</v>
      </c>
      <c r="C20" s="97"/>
      <c r="D20" s="97"/>
      <c r="E20" s="117">
        <f>E18-E19</f>
        <v>0</v>
      </c>
      <c r="F20" s="118">
        <f t="shared" ref="F20:AQ20" si="3">F18-F19</f>
        <v>0</v>
      </c>
      <c r="G20" s="118">
        <f t="shared" si="3"/>
        <v>0</v>
      </c>
      <c r="H20" s="118">
        <f t="shared" si="3"/>
        <v>0</v>
      </c>
      <c r="I20" s="118">
        <f t="shared" si="3"/>
        <v>0</v>
      </c>
      <c r="J20" s="118">
        <f t="shared" si="3"/>
        <v>0</v>
      </c>
      <c r="K20" s="118">
        <f t="shared" si="3"/>
        <v>0</v>
      </c>
      <c r="L20" s="118">
        <f t="shared" si="3"/>
        <v>0</v>
      </c>
      <c r="M20" s="118">
        <f t="shared" si="3"/>
        <v>0</v>
      </c>
      <c r="N20" s="118">
        <f t="shared" si="3"/>
        <v>0</v>
      </c>
      <c r="O20" s="118">
        <f t="shared" si="3"/>
        <v>0</v>
      </c>
      <c r="P20" s="118">
        <f t="shared" si="3"/>
        <v>0</v>
      </c>
      <c r="Q20" s="118">
        <f t="shared" si="3"/>
        <v>0</v>
      </c>
      <c r="R20" s="118">
        <f t="shared" si="3"/>
        <v>0</v>
      </c>
      <c r="S20" s="118">
        <f t="shared" si="3"/>
        <v>0</v>
      </c>
      <c r="T20" s="118">
        <f t="shared" si="3"/>
        <v>0</v>
      </c>
      <c r="U20" s="118">
        <f t="shared" si="3"/>
        <v>0</v>
      </c>
      <c r="V20" s="118">
        <f t="shared" si="3"/>
        <v>0</v>
      </c>
      <c r="W20" s="118">
        <f t="shared" si="3"/>
        <v>0</v>
      </c>
      <c r="X20" s="118">
        <f t="shared" si="3"/>
        <v>0</v>
      </c>
      <c r="Y20" s="118">
        <f t="shared" si="3"/>
        <v>0</v>
      </c>
      <c r="Z20" s="118">
        <f t="shared" si="3"/>
        <v>0</v>
      </c>
      <c r="AA20" s="118">
        <f t="shared" si="3"/>
        <v>0</v>
      </c>
      <c r="AB20" s="118">
        <f t="shared" si="3"/>
        <v>0</v>
      </c>
      <c r="AC20" s="118">
        <f t="shared" si="3"/>
        <v>0</v>
      </c>
      <c r="AD20" s="118">
        <f t="shared" si="3"/>
        <v>2395698.8534309492</v>
      </c>
      <c r="AE20" s="118">
        <f t="shared" si="3"/>
        <v>0</v>
      </c>
      <c r="AF20" s="118">
        <f t="shared" si="3"/>
        <v>0</v>
      </c>
      <c r="AG20" s="118">
        <f t="shared" si="3"/>
        <v>0</v>
      </c>
      <c r="AH20" s="118">
        <f t="shared" si="3"/>
        <v>0</v>
      </c>
      <c r="AI20" s="118">
        <f t="shared" si="3"/>
        <v>0</v>
      </c>
      <c r="AJ20" s="118">
        <f t="shared" si="3"/>
        <v>0</v>
      </c>
      <c r="AK20" s="118">
        <f t="shared" si="3"/>
        <v>0</v>
      </c>
      <c r="AL20" s="118">
        <f t="shared" si="3"/>
        <v>0</v>
      </c>
      <c r="AM20" s="118">
        <f t="shared" si="3"/>
        <v>0</v>
      </c>
      <c r="AN20" s="118">
        <f t="shared" si="3"/>
        <v>0</v>
      </c>
      <c r="AO20" s="118">
        <f t="shared" si="3"/>
        <v>0</v>
      </c>
      <c r="AP20" s="118">
        <f t="shared" si="3"/>
        <v>0</v>
      </c>
      <c r="AQ20" s="118">
        <f t="shared" si="3"/>
        <v>0</v>
      </c>
    </row>
    <row r="21" spans="1:43" ht="15" customHeight="1" x14ac:dyDescent="0.3">
      <c r="A21" s="191">
        <v>3</v>
      </c>
      <c r="B21" s="87" t="str">
        <f>'Tab 6 - Financial Model'!B16</f>
        <v xml:space="preserve">Nose Creek Fire Station </v>
      </c>
      <c r="D21" s="109">
        <f>'Tab 6 - Financial Model'!I16</f>
        <v>20</v>
      </c>
      <c r="E21" s="110">
        <f>IF(AND($D21=E$9,$B21='Tab 6 - Financial Model'!$B16),('Tab 6 - Financial Model'!$D16*(1+'Tab 6 - Financial Model'!$E$25)^'Tab 7 - Bylaw Continuity'!E$9),0)</f>
        <v>0</v>
      </c>
      <c r="F21" s="110">
        <f>IF(AND($D21=F$9,$B21='Tab 6 - Financial Model'!$B16),('Tab 6 - Financial Model'!$D16*(1+'Tab 6 - Financial Model'!$E$25)^'Tab 7 - Bylaw Continuity'!F$9),0)</f>
        <v>0</v>
      </c>
      <c r="G21" s="110">
        <f>IF(AND($D21=G$9,$B21='Tab 6 - Financial Model'!$B16),('Tab 6 - Financial Model'!$D16*(1+'Tab 6 - Financial Model'!$E$25)^'Tab 7 - Bylaw Continuity'!G$9),0)</f>
        <v>0</v>
      </c>
      <c r="H21" s="110">
        <f>IF(AND($D21=H$9,$B21='Tab 6 - Financial Model'!$B16),('Tab 6 - Financial Model'!$D16*(1+'Tab 6 - Financial Model'!$E$25)^'Tab 7 - Bylaw Continuity'!H$9),0)</f>
        <v>0</v>
      </c>
      <c r="I21" s="110">
        <f>IF(AND($D21=I$9,$B21='Tab 6 - Financial Model'!$B16),('Tab 6 - Financial Model'!$D16*(1+'Tab 6 - Financial Model'!$E$25)^'Tab 7 - Bylaw Continuity'!I$9),0)</f>
        <v>0</v>
      </c>
      <c r="J21" s="110">
        <f>IF(AND($D21=J$9,$B21='Tab 6 - Financial Model'!$B16),('Tab 6 - Financial Model'!$D16*(1+'Tab 6 - Financial Model'!$E$25)^'Tab 7 - Bylaw Continuity'!J$9),0)</f>
        <v>0</v>
      </c>
      <c r="K21" s="110">
        <f>IF(AND($D21=K$9,$B21='Tab 6 - Financial Model'!$B16),('Tab 6 - Financial Model'!$D16*(1+'Tab 6 - Financial Model'!$E$25)^'Tab 7 - Bylaw Continuity'!K$9),0)</f>
        <v>0</v>
      </c>
      <c r="L21" s="110">
        <f>IF(AND($D21=L$9,$B21='Tab 6 - Financial Model'!$B16),('Tab 6 - Financial Model'!$D16*(1+'Tab 6 - Financial Model'!$E$25)^'Tab 7 - Bylaw Continuity'!L$9),0)</f>
        <v>0</v>
      </c>
      <c r="M21" s="110">
        <f>IF(AND($D21=M$9,$B21='Tab 6 - Financial Model'!$B16),('Tab 6 - Financial Model'!$D16*(1+'Tab 6 - Financial Model'!$E$25)^'Tab 7 - Bylaw Continuity'!M$9),0)</f>
        <v>0</v>
      </c>
      <c r="N21" s="110">
        <f>IF(AND($D21=N$9,$B21='Tab 6 - Financial Model'!$B16),('Tab 6 - Financial Model'!$D16*(1+'Tab 6 - Financial Model'!$E$25)^'Tab 7 - Bylaw Continuity'!N$9),0)</f>
        <v>0</v>
      </c>
      <c r="O21" s="110">
        <f>IF(AND($D21=O$9,$B21='Tab 6 - Financial Model'!$B16),('Tab 6 - Financial Model'!$D16*(1+'Tab 6 - Financial Model'!$E$25)^'Tab 7 - Bylaw Continuity'!O$9),0)</f>
        <v>0</v>
      </c>
      <c r="P21" s="110">
        <f>IF(AND($D21=P$9,$B21='Tab 6 - Financial Model'!$B16),('Tab 6 - Financial Model'!$D16*(1+'Tab 6 - Financial Model'!$E$25)^'Tab 7 - Bylaw Continuity'!P$9),0)</f>
        <v>0</v>
      </c>
      <c r="Q21" s="110">
        <f>IF(AND($D21=Q$9,$B21='Tab 6 - Financial Model'!$B16),('Tab 6 - Financial Model'!$D16*(1+'Tab 6 - Financial Model'!$E$25)^'Tab 7 - Bylaw Continuity'!Q$9),0)</f>
        <v>0</v>
      </c>
      <c r="R21" s="110">
        <f>IF(AND($D21=R$9,$B21='Tab 6 - Financial Model'!$B16),('Tab 6 - Financial Model'!$D16*(1+'Tab 6 - Financial Model'!$E$25)^'Tab 7 - Bylaw Continuity'!R$9),0)</f>
        <v>0</v>
      </c>
      <c r="S21" s="110">
        <f>IF(AND($D21=S$9,$B21='Tab 6 - Financial Model'!$B16),('Tab 6 - Financial Model'!$D16*(1+'Tab 6 - Financial Model'!$E$25)^'Tab 7 - Bylaw Continuity'!S$9),0)</f>
        <v>0</v>
      </c>
      <c r="T21" s="110">
        <f>IF(AND($D21=T$9,$B21='Tab 6 - Financial Model'!$B16),('Tab 6 - Financial Model'!$D16*(1+'Tab 6 - Financial Model'!$E$25)^'Tab 7 - Bylaw Continuity'!T$9),0)</f>
        <v>0</v>
      </c>
      <c r="U21" s="110">
        <f>IF(AND($D21=U$9,$B21='Tab 6 - Financial Model'!$B16),('Tab 6 - Financial Model'!$D16*(1+'Tab 6 - Financial Model'!$E$25)^'Tab 7 - Bylaw Continuity'!U$9),0)</f>
        <v>0</v>
      </c>
      <c r="V21" s="110">
        <f>IF(AND($D21=V$9,$B21='Tab 6 - Financial Model'!$B16),('Tab 6 - Financial Model'!$D16*(1+'Tab 6 - Financial Model'!$E$25)^'Tab 7 - Bylaw Continuity'!V$9),0)</f>
        <v>0</v>
      </c>
      <c r="W21" s="110">
        <f>IF(AND($D21=W$9,$B21='Tab 6 - Financial Model'!$B16),('Tab 6 - Financial Model'!$D16*(1+'Tab 6 - Financial Model'!$E$25)^'Tab 7 - Bylaw Continuity'!W$9),0)</f>
        <v>0</v>
      </c>
      <c r="X21" s="110">
        <f>IF(AND($D21=X$9,$B21='Tab 6 - Financial Model'!$B16),('Tab 6 - Financial Model'!$D16*(1+'Tab 6 - Financial Model'!$E$25)^'Tab 7 - Bylaw Continuity'!X$9),0)</f>
        <v>0</v>
      </c>
      <c r="Y21" s="110">
        <f>IF(AND($D21=Y$9,$B21='Tab 6 - Financial Model'!$B16),('Tab 6 - Financial Model'!$D16*(1+'Tab 6 - Financial Model'!$E$25)^'Tab 7 - Bylaw Continuity'!Y$9),0)</f>
        <v>0</v>
      </c>
      <c r="Z21" s="110">
        <f>IF(AND($D21=Z$9,$B21='Tab 6 - Financial Model'!$B16),('Tab 6 - Financial Model'!$D16*(1+'Tab 6 - Financial Model'!$E$25)^'Tab 7 - Bylaw Continuity'!Z$9),0)</f>
        <v>0</v>
      </c>
      <c r="AA21" s="110">
        <f>IF(AND($D21=AA$9,$B21='Tab 6 - Financial Model'!$B16),('Tab 6 - Financial Model'!$D16*(1+'Tab 6 - Financial Model'!$E$25)^'Tab 7 - Bylaw Continuity'!AA$9),0)</f>
        <v>0</v>
      </c>
      <c r="AB21" s="110">
        <f>IF(AND($D21=AB$9,$B21='Tab 6 - Financial Model'!$B16),('Tab 6 - Financial Model'!$D16*(1+'Tab 6 - Financial Model'!$E$25)^'Tab 7 - Bylaw Continuity'!AB$9),0)</f>
        <v>35868770.559972323</v>
      </c>
      <c r="AC21" s="110">
        <f>IF(AND($D21=AC$9,$B21='Tab 6 - Financial Model'!$B16),('Tab 6 - Financial Model'!$D16*(1+'Tab 6 - Financial Model'!$E$25)^'Tab 7 - Bylaw Continuity'!AC$9),0)</f>
        <v>0</v>
      </c>
      <c r="AD21" s="110">
        <f>IF(AND($D21=AD$9,$B21='Tab 6 - Financial Model'!$B16),('Tab 6 - Financial Model'!$D16*(1+'Tab 6 - Financial Model'!$E$25)^'Tab 7 - Bylaw Continuity'!AD$9),0)</f>
        <v>0</v>
      </c>
      <c r="AE21" s="110">
        <f>IF(AND($D21=AE$9,$B21='Tab 6 - Financial Model'!$B16),('Tab 6 - Financial Model'!$D16*(1+'Tab 6 - Financial Model'!$E$25)^'Tab 7 - Bylaw Continuity'!AE$9),0)</f>
        <v>0</v>
      </c>
      <c r="AF21" s="110">
        <f>IF(AND($D21=AF$9,$B21='Tab 6 - Financial Model'!$B16),('Tab 6 - Financial Model'!$D16*(1+'Tab 6 - Financial Model'!$E$25)^'Tab 7 - Bylaw Continuity'!AF$9),0)</f>
        <v>0</v>
      </c>
      <c r="AG21" s="110">
        <f>IF(AND($D21=AG$9,$B21='Tab 6 - Financial Model'!$B16),('Tab 6 - Financial Model'!$D16*(1+'Tab 6 - Financial Model'!$E$25)^'Tab 7 - Bylaw Continuity'!AG$9),0)</f>
        <v>0</v>
      </c>
      <c r="AH21" s="110">
        <f>IF(AND($D21=AH$9,$B21='Tab 6 - Financial Model'!$B16),('Tab 6 - Financial Model'!$D16*(1+'Tab 6 - Financial Model'!$E$25)^'Tab 7 - Bylaw Continuity'!AH$9),0)</f>
        <v>0</v>
      </c>
      <c r="AI21" s="110">
        <f>IF(AND($D21=AI$9,$B21='Tab 6 - Financial Model'!$B16),('Tab 6 - Financial Model'!$D16*(1+'Tab 6 - Financial Model'!$E$25)^'Tab 7 - Bylaw Continuity'!AI$9),0)</f>
        <v>0</v>
      </c>
      <c r="AJ21" s="110">
        <f>IF(AND($D21=AJ$9,$B21='Tab 6 - Financial Model'!$B16),('Tab 6 - Financial Model'!$D16*(1+'Tab 6 - Financial Model'!$E$25)^'Tab 7 - Bylaw Continuity'!AJ$9),0)</f>
        <v>0</v>
      </c>
      <c r="AK21" s="110">
        <f>IF(AND($D21=AK$9,$B21='Tab 6 - Financial Model'!$B16),('Tab 6 - Financial Model'!$D16*(1+'Tab 6 - Financial Model'!$E$25)^'Tab 7 - Bylaw Continuity'!AK$9),0)</f>
        <v>0</v>
      </c>
      <c r="AL21" s="110">
        <f>IF(AND($D21=AL$9,$B21='Tab 6 - Financial Model'!$B16),('Tab 6 - Financial Model'!$D16*(1+'Tab 6 - Financial Model'!$E$25)^'Tab 7 - Bylaw Continuity'!AL$9),0)</f>
        <v>0</v>
      </c>
      <c r="AM21" s="110">
        <f>IF(AND($D21=AM$9,$B21='Tab 6 - Financial Model'!$B16),('Tab 6 - Financial Model'!$D16*(1+'Tab 6 - Financial Model'!$E$25)^'Tab 7 - Bylaw Continuity'!AM$9),0)</f>
        <v>0</v>
      </c>
      <c r="AN21" s="110">
        <f>IF(AND($D21=AN$9,$B21='Tab 6 - Financial Model'!$B16),('Tab 6 - Financial Model'!$D16*(1+'Tab 6 - Financial Model'!$E$25)^'Tab 7 - Bylaw Continuity'!AN$9),0)</f>
        <v>0</v>
      </c>
      <c r="AO21" s="110">
        <f>IF(AND($D21=AO$9,$B21='Tab 6 - Financial Model'!$B16),('Tab 6 - Financial Model'!$D16*(1+'Tab 6 - Financial Model'!$E$25)^'Tab 7 - Bylaw Continuity'!AO$9),0)</f>
        <v>0</v>
      </c>
      <c r="AP21" s="110">
        <f>IF(AND($D21=AP$9,$B21='Tab 6 - Financial Model'!$B16),('Tab 6 - Financial Model'!$D16*(1+'Tab 6 - Financial Model'!$E$25)^'Tab 7 - Bylaw Continuity'!AP$9),0)</f>
        <v>0</v>
      </c>
      <c r="AQ21" s="110">
        <f>IF(AND($D21=AQ$9,$B21='Tab 6 - Financial Model'!$B16),('Tab 6 - Financial Model'!$D16*(1+'Tab 6 - Financial Model'!$E$25)^'Tab 7 - Bylaw Continuity'!AQ$9),0)</f>
        <v>0</v>
      </c>
    </row>
    <row r="22" spans="1:43" ht="15" customHeight="1" x14ac:dyDescent="0.3">
      <c r="A22" s="191"/>
      <c r="B22" s="111" t="s">
        <v>228</v>
      </c>
      <c r="C22" s="112"/>
      <c r="D22" s="198">
        <f>SUMIF('Tab 6 - Financial Model'!$B$14:$B$21,'Tab 7 - Bylaw Continuity'!B21,'Tab 6 - Financial Model'!$F$14:$F$21)</f>
        <v>0.99</v>
      </c>
      <c r="E22" s="114">
        <f>E21*$D22</f>
        <v>0</v>
      </c>
      <c r="F22" s="115">
        <f t="shared" ref="F22:AQ22" si="4">F21*$D22</f>
        <v>0</v>
      </c>
      <c r="G22" s="115">
        <f t="shared" si="4"/>
        <v>0</v>
      </c>
      <c r="H22" s="115">
        <f t="shared" si="4"/>
        <v>0</v>
      </c>
      <c r="I22" s="115">
        <f t="shared" si="4"/>
        <v>0</v>
      </c>
      <c r="J22" s="115">
        <f t="shared" si="4"/>
        <v>0</v>
      </c>
      <c r="K22" s="115">
        <f t="shared" si="4"/>
        <v>0</v>
      </c>
      <c r="L22" s="115">
        <f t="shared" si="4"/>
        <v>0</v>
      </c>
      <c r="M22" s="115">
        <f t="shared" si="4"/>
        <v>0</v>
      </c>
      <c r="N22" s="115">
        <f t="shared" si="4"/>
        <v>0</v>
      </c>
      <c r="O22" s="115">
        <f t="shared" si="4"/>
        <v>0</v>
      </c>
      <c r="P22" s="115">
        <f t="shared" si="4"/>
        <v>0</v>
      </c>
      <c r="Q22" s="115">
        <f t="shared" si="4"/>
        <v>0</v>
      </c>
      <c r="R22" s="115">
        <f t="shared" si="4"/>
        <v>0</v>
      </c>
      <c r="S22" s="115">
        <f t="shared" si="4"/>
        <v>0</v>
      </c>
      <c r="T22" s="115">
        <f t="shared" si="4"/>
        <v>0</v>
      </c>
      <c r="U22" s="115">
        <f t="shared" si="4"/>
        <v>0</v>
      </c>
      <c r="V22" s="115">
        <f t="shared" si="4"/>
        <v>0</v>
      </c>
      <c r="W22" s="115">
        <f t="shared" si="4"/>
        <v>0</v>
      </c>
      <c r="X22" s="115">
        <f t="shared" si="4"/>
        <v>0</v>
      </c>
      <c r="Y22" s="115">
        <f t="shared" si="4"/>
        <v>0</v>
      </c>
      <c r="Z22" s="115">
        <f t="shared" si="4"/>
        <v>0</v>
      </c>
      <c r="AA22" s="115">
        <f t="shared" si="4"/>
        <v>0</v>
      </c>
      <c r="AB22" s="115">
        <f t="shared" si="4"/>
        <v>35510082.854372598</v>
      </c>
      <c r="AC22" s="115">
        <f t="shared" si="4"/>
        <v>0</v>
      </c>
      <c r="AD22" s="115">
        <f t="shared" si="4"/>
        <v>0</v>
      </c>
      <c r="AE22" s="115">
        <f t="shared" si="4"/>
        <v>0</v>
      </c>
      <c r="AF22" s="115">
        <f t="shared" si="4"/>
        <v>0</v>
      </c>
      <c r="AG22" s="115">
        <f t="shared" si="4"/>
        <v>0</v>
      </c>
      <c r="AH22" s="115">
        <f t="shared" si="4"/>
        <v>0</v>
      </c>
      <c r="AI22" s="115">
        <f t="shared" si="4"/>
        <v>0</v>
      </c>
      <c r="AJ22" s="115">
        <f t="shared" si="4"/>
        <v>0</v>
      </c>
      <c r="AK22" s="115">
        <f t="shared" si="4"/>
        <v>0</v>
      </c>
      <c r="AL22" s="115">
        <f t="shared" si="4"/>
        <v>0</v>
      </c>
      <c r="AM22" s="115">
        <f t="shared" si="4"/>
        <v>0</v>
      </c>
      <c r="AN22" s="115">
        <f t="shared" si="4"/>
        <v>0</v>
      </c>
      <c r="AO22" s="115">
        <f t="shared" si="4"/>
        <v>0</v>
      </c>
      <c r="AP22" s="115">
        <f t="shared" si="4"/>
        <v>0</v>
      </c>
      <c r="AQ22" s="115">
        <f t="shared" si="4"/>
        <v>0</v>
      </c>
    </row>
    <row r="23" spans="1:43" ht="15" customHeight="1" x14ac:dyDescent="0.3">
      <c r="A23" s="191"/>
      <c r="B23" s="116" t="s">
        <v>229</v>
      </c>
      <c r="C23" s="97"/>
      <c r="D23" s="97"/>
      <c r="E23" s="117">
        <f>E21-E22</f>
        <v>0</v>
      </c>
      <c r="F23" s="118">
        <f t="shared" ref="F23:AQ23" si="5">F21-F22</f>
        <v>0</v>
      </c>
      <c r="G23" s="118">
        <f t="shared" si="5"/>
        <v>0</v>
      </c>
      <c r="H23" s="118">
        <f t="shared" si="5"/>
        <v>0</v>
      </c>
      <c r="I23" s="118">
        <f t="shared" si="5"/>
        <v>0</v>
      </c>
      <c r="J23" s="118">
        <f t="shared" si="5"/>
        <v>0</v>
      </c>
      <c r="K23" s="118">
        <f t="shared" si="5"/>
        <v>0</v>
      </c>
      <c r="L23" s="118">
        <f t="shared" si="5"/>
        <v>0</v>
      </c>
      <c r="M23" s="118">
        <f t="shared" si="5"/>
        <v>0</v>
      </c>
      <c r="N23" s="118">
        <f t="shared" si="5"/>
        <v>0</v>
      </c>
      <c r="O23" s="118">
        <f t="shared" si="5"/>
        <v>0</v>
      </c>
      <c r="P23" s="118">
        <f t="shared" si="5"/>
        <v>0</v>
      </c>
      <c r="Q23" s="118">
        <f t="shared" si="5"/>
        <v>0</v>
      </c>
      <c r="R23" s="118">
        <f t="shared" si="5"/>
        <v>0</v>
      </c>
      <c r="S23" s="118">
        <f t="shared" si="5"/>
        <v>0</v>
      </c>
      <c r="T23" s="118">
        <f t="shared" si="5"/>
        <v>0</v>
      </c>
      <c r="U23" s="118">
        <f t="shared" si="5"/>
        <v>0</v>
      </c>
      <c r="V23" s="118">
        <f t="shared" si="5"/>
        <v>0</v>
      </c>
      <c r="W23" s="118">
        <f t="shared" si="5"/>
        <v>0</v>
      </c>
      <c r="X23" s="118">
        <f t="shared" si="5"/>
        <v>0</v>
      </c>
      <c r="Y23" s="118">
        <f t="shared" si="5"/>
        <v>0</v>
      </c>
      <c r="Z23" s="118">
        <f t="shared" si="5"/>
        <v>0</v>
      </c>
      <c r="AA23" s="118">
        <f t="shared" si="5"/>
        <v>0</v>
      </c>
      <c r="AB23" s="118">
        <f t="shared" si="5"/>
        <v>358687.70559972525</v>
      </c>
      <c r="AC23" s="118">
        <f t="shared" si="5"/>
        <v>0</v>
      </c>
      <c r="AD23" s="118">
        <f t="shared" si="5"/>
        <v>0</v>
      </c>
      <c r="AE23" s="118">
        <f t="shared" si="5"/>
        <v>0</v>
      </c>
      <c r="AF23" s="118">
        <f t="shared" si="5"/>
        <v>0</v>
      </c>
      <c r="AG23" s="118">
        <f t="shared" si="5"/>
        <v>0</v>
      </c>
      <c r="AH23" s="118">
        <f t="shared" si="5"/>
        <v>0</v>
      </c>
      <c r="AI23" s="118">
        <f t="shared" si="5"/>
        <v>0</v>
      </c>
      <c r="AJ23" s="118">
        <f t="shared" si="5"/>
        <v>0</v>
      </c>
      <c r="AK23" s="118">
        <f t="shared" si="5"/>
        <v>0</v>
      </c>
      <c r="AL23" s="118">
        <f t="shared" si="5"/>
        <v>0</v>
      </c>
      <c r="AM23" s="118">
        <f t="shared" si="5"/>
        <v>0</v>
      </c>
      <c r="AN23" s="118">
        <f t="shared" si="5"/>
        <v>0</v>
      </c>
      <c r="AO23" s="118">
        <f t="shared" si="5"/>
        <v>0</v>
      </c>
      <c r="AP23" s="118">
        <f t="shared" si="5"/>
        <v>0</v>
      </c>
      <c r="AQ23" s="118">
        <f t="shared" si="5"/>
        <v>0</v>
      </c>
    </row>
    <row r="24" spans="1:43" ht="15" customHeight="1" x14ac:dyDescent="0.3">
      <c r="A24" s="191">
        <v>4</v>
      </c>
      <c r="B24" s="87" t="str">
        <f>'Tab 6 - Financial Model'!B17</f>
        <v xml:space="preserve">Providence Fire Station </v>
      </c>
      <c r="D24" s="109">
        <f>'Tab 6 - Financial Model'!I17</f>
        <v>17</v>
      </c>
      <c r="E24" s="110">
        <f>IF(AND($D24=E$9,$B24='Tab 6 - Financial Model'!$B17),('Tab 6 - Financial Model'!$D17*(1+'Tab 6 - Financial Model'!$E$25)^'Tab 7 - Bylaw Continuity'!E$9),0)</f>
        <v>0</v>
      </c>
      <c r="F24" s="110">
        <f>IF(AND($D24=F$9,$B24='Tab 6 - Financial Model'!$B17),('Tab 6 - Financial Model'!$D17*(1+'Tab 6 - Financial Model'!$E$25)^'Tab 7 - Bylaw Continuity'!F$9),0)</f>
        <v>0</v>
      </c>
      <c r="G24" s="110">
        <f>IF(AND($D24=G$9,$B24='Tab 6 - Financial Model'!$B17),('Tab 6 - Financial Model'!$D17*(1+'Tab 6 - Financial Model'!$E$25)^'Tab 7 - Bylaw Continuity'!G$9),0)</f>
        <v>0</v>
      </c>
      <c r="H24" s="110">
        <f>IF(AND($D24=H$9,$B24='Tab 6 - Financial Model'!$B17),('Tab 6 - Financial Model'!$D17*(1+'Tab 6 - Financial Model'!$E$25)^'Tab 7 - Bylaw Continuity'!H$9),0)</f>
        <v>0</v>
      </c>
      <c r="I24" s="110">
        <f>IF(AND($D24=I$9,$B24='Tab 6 - Financial Model'!$B17),('Tab 6 - Financial Model'!$D17*(1+'Tab 6 - Financial Model'!$E$25)^'Tab 7 - Bylaw Continuity'!I$9),0)</f>
        <v>0</v>
      </c>
      <c r="J24" s="110">
        <f>IF(AND($D24=J$9,$B24='Tab 6 - Financial Model'!$B17),('Tab 6 - Financial Model'!$D17*(1+'Tab 6 - Financial Model'!$E$25)^'Tab 7 - Bylaw Continuity'!J$9),0)</f>
        <v>0</v>
      </c>
      <c r="K24" s="110">
        <f>IF(AND($D24=K$9,$B24='Tab 6 - Financial Model'!$B17),('Tab 6 - Financial Model'!$D17*(1+'Tab 6 - Financial Model'!$E$25)^'Tab 7 - Bylaw Continuity'!K$9),0)</f>
        <v>0</v>
      </c>
      <c r="L24" s="110">
        <f>IF(AND($D24=L$9,$B24='Tab 6 - Financial Model'!$B17),('Tab 6 - Financial Model'!$D17*(1+'Tab 6 - Financial Model'!$E$25)^'Tab 7 - Bylaw Continuity'!L$9),0)</f>
        <v>0</v>
      </c>
      <c r="M24" s="110">
        <f>IF(AND($D24=M$9,$B24='Tab 6 - Financial Model'!$B17),('Tab 6 - Financial Model'!$D17*(1+'Tab 6 - Financial Model'!$E$25)^'Tab 7 - Bylaw Continuity'!M$9),0)</f>
        <v>0</v>
      </c>
      <c r="N24" s="110">
        <f>IF(AND($D24=N$9,$B24='Tab 6 - Financial Model'!$B17),('Tab 6 - Financial Model'!$D17*(1+'Tab 6 - Financial Model'!$E$25)^'Tab 7 - Bylaw Continuity'!N$9),0)</f>
        <v>0</v>
      </c>
      <c r="O24" s="110">
        <f>IF(AND($D24=O$9,$B24='Tab 6 - Financial Model'!$B17),('Tab 6 - Financial Model'!$D17*(1+'Tab 6 - Financial Model'!$E$25)^'Tab 7 - Bylaw Continuity'!O$9),0)</f>
        <v>0</v>
      </c>
      <c r="P24" s="110">
        <f>IF(AND($D24=P$9,$B24='Tab 6 - Financial Model'!$B17),('Tab 6 - Financial Model'!$D17*(1+'Tab 6 - Financial Model'!$E$25)^'Tab 7 - Bylaw Continuity'!P$9),0)</f>
        <v>0</v>
      </c>
      <c r="Q24" s="110">
        <f>IF(AND($D24=Q$9,$B24='Tab 6 - Financial Model'!$B17),('Tab 6 - Financial Model'!$D17*(1+'Tab 6 - Financial Model'!$E$25)^'Tab 7 - Bylaw Continuity'!Q$9),0)</f>
        <v>0</v>
      </c>
      <c r="R24" s="110">
        <f>IF(AND($D24=R$9,$B24='Tab 6 - Financial Model'!$B17),('Tab 6 - Financial Model'!$D17*(1+'Tab 6 - Financial Model'!$E$25)^'Tab 7 - Bylaw Continuity'!R$9),0)</f>
        <v>0</v>
      </c>
      <c r="S24" s="110">
        <f>IF(AND($D24=S$9,$B24='Tab 6 - Financial Model'!$B17),('Tab 6 - Financial Model'!$D17*(1+'Tab 6 - Financial Model'!$E$25)^'Tab 7 - Bylaw Continuity'!S$9),0)</f>
        <v>0</v>
      </c>
      <c r="T24" s="110">
        <f>IF(AND($D24=T$9,$B24='Tab 6 - Financial Model'!$B17),('Tab 6 - Financial Model'!$D17*(1+'Tab 6 - Financial Model'!$E$25)^'Tab 7 - Bylaw Continuity'!T$9),0)</f>
        <v>0</v>
      </c>
      <c r="U24" s="110">
        <f>IF(AND($D24=U$9,$B24='Tab 6 - Financial Model'!$B17),('Tab 6 - Financial Model'!$D17*(1+'Tab 6 - Financial Model'!$E$25)^'Tab 7 - Bylaw Continuity'!U$9),0)</f>
        <v>0</v>
      </c>
      <c r="V24" s="110">
        <f>IF(AND($D24=V$9,$B24='Tab 6 - Financial Model'!$B17),('Tab 6 - Financial Model'!$D17*(1+'Tab 6 - Financial Model'!$E$25)^'Tab 7 - Bylaw Continuity'!V$9),0)</f>
        <v>0</v>
      </c>
      <c r="W24" s="110">
        <f>IF(AND($D24=W$9,$B24='Tab 6 - Financial Model'!$B17),('Tab 6 - Financial Model'!$D17*(1+'Tab 6 - Financial Model'!$E$25)^'Tab 7 - Bylaw Continuity'!W$9),0)</f>
        <v>0</v>
      </c>
      <c r="X24" s="110">
        <f>IF(AND($D24=X$9,$B24='Tab 6 - Financial Model'!$B17),('Tab 6 - Financial Model'!$D17*(1+'Tab 6 - Financial Model'!$E$25)^'Tab 7 - Bylaw Continuity'!X$9),0)</f>
        <v>0</v>
      </c>
      <c r="Y24" s="110">
        <f>IF(AND($D24=Y$9,$B24='Tab 6 - Financial Model'!$B17),('Tab 6 - Financial Model'!$D17*(1+'Tab 6 - Financial Model'!$E$25)^'Tab 7 - Bylaw Continuity'!Y$9),0)</f>
        <v>32276673.641532883</v>
      </c>
      <c r="Z24" s="110">
        <f>IF(AND($D24=Z$9,$B24='Tab 6 - Financial Model'!$B17),('Tab 6 - Financial Model'!$D17*(1+'Tab 6 - Financial Model'!$E$25)^'Tab 7 - Bylaw Continuity'!Z$9),0)</f>
        <v>0</v>
      </c>
      <c r="AA24" s="110">
        <f>IF(AND($D24=AA$9,$B24='Tab 6 - Financial Model'!$B17),('Tab 6 - Financial Model'!$D17*(1+'Tab 6 - Financial Model'!$E$25)^'Tab 7 - Bylaw Continuity'!AA$9),0)</f>
        <v>0</v>
      </c>
      <c r="AB24" s="110">
        <f>IF(AND($D24=AB$9,$B24='Tab 6 - Financial Model'!$B17),('Tab 6 - Financial Model'!$D17*(1+'Tab 6 - Financial Model'!$E$25)^'Tab 7 - Bylaw Continuity'!AB$9),0)</f>
        <v>0</v>
      </c>
      <c r="AC24" s="110">
        <f>IF(AND($D24=AC$9,$B24='Tab 6 - Financial Model'!$B17),('Tab 6 - Financial Model'!$D17*(1+'Tab 6 - Financial Model'!$E$25)^'Tab 7 - Bylaw Continuity'!AC$9),0)</f>
        <v>0</v>
      </c>
      <c r="AD24" s="110">
        <f>IF(AND($D24=AD$9,$B24='Tab 6 - Financial Model'!$B17),('Tab 6 - Financial Model'!$D17*(1+'Tab 6 - Financial Model'!$E$25)^'Tab 7 - Bylaw Continuity'!AD$9),0)</f>
        <v>0</v>
      </c>
      <c r="AE24" s="110">
        <f>IF(AND($D24=AE$9,$B24='Tab 6 - Financial Model'!$B17),('Tab 6 - Financial Model'!$D17*(1+'Tab 6 - Financial Model'!$E$25)^'Tab 7 - Bylaw Continuity'!AE$9),0)</f>
        <v>0</v>
      </c>
      <c r="AF24" s="110">
        <f>IF(AND($D24=AF$9,$B24='Tab 6 - Financial Model'!$B17),('Tab 6 - Financial Model'!$D17*(1+'Tab 6 - Financial Model'!$E$25)^'Tab 7 - Bylaw Continuity'!AF$9),0)</f>
        <v>0</v>
      </c>
      <c r="AG24" s="110">
        <f>IF(AND($D24=AG$9,$B24='Tab 6 - Financial Model'!$B17),('Tab 6 - Financial Model'!$D17*(1+'Tab 6 - Financial Model'!$E$25)^'Tab 7 - Bylaw Continuity'!AG$9),0)</f>
        <v>0</v>
      </c>
      <c r="AH24" s="110">
        <f>IF(AND($D24=AH$9,$B24='Tab 6 - Financial Model'!$B17),('Tab 6 - Financial Model'!$D17*(1+'Tab 6 - Financial Model'!$E$25)^'Tab 7 - Bylaw Continuity'!AH$9),0)</f>
        <v>0</v>
      </c>
      <c r="AI24" s="110">
        <f>IF(AND($D24=AI$9,$B24='Tab 6 - Financial Model'!$B17),('Tab 6 - Financial Model'!$D17*(1+'Tab 6 - Financial Model'!$E$25)^'Tab 7 - Bylaw Continuity'!AI$9),0)</f>
        <v>0</v>
      </c>
      <c r="AJ24" s="110">
        <f>IF(AND($D24=AJ$9,$B24='Tab 6 - Financial Model'!$B17),('Tab 6 - Financial Model'!$D17*(1+'Tab 6 - Financial Model'!$E$25)^'Tab 7 - Bylaw Continuity'!AJ$9),0)</f>
        <v>0</v>
      </c>
      <c r="AK24" s="110">
        <f>IF(AND($D24=AK$9,$B24='Tab 6 - Financial Model'!$B17),('Tab 6 - Financial Model'!$D17*(1+'Tab 6 - Financial Model'!$E$25)^'Tab 7 - Bylaw Continuity'!AK$9),0)</f>
        <v>0</v>
      </c>
      <c r="AL24" s="110">
        <f>IF(AND($D24=AL$9,$B24='Tab 6 - Financial Model'!$B17),('Tab 6 - Financial Model'!$D17*(1+'Tab 6 - Financial Model'!$E$25)^'Tab 7 - Bylaw Continuity'!AL$9),0)</f>
        <v>0</v>
      </c>
      <c r="AM24" s="110">
        <f>IF(AND($D24=AM$9,$B24='Tab 6 - Financial Model'!$B17),('Tab 6 - Financial Model'!$D17*(1+'Tab 6 - Financial Model'!$E$25)^'Tab 7 - Bylaw Continuity'!AM$9),0)</f>
        <v>0</v>
      </c>
      <c r="AN24" s="110">
        <f>IF(AND($D24=AN$9,$B24='Tab 6 - Financial Model'!$B17),('Tab 6 - Financial Model'!$D17*(1+'Tab 6 - Financial Model'!$E$25)^'Tab 7 - Bylaw Continuity'!AN$9),0)</f>
        <v>0</v>
      </c>
      <c r="AO24" s="110">
        <f>IF(AND($D24=AO$9,$B24='Tab 6 - Financial Model'!$B17),('Tab 6 - Financial Model'!$D17*(1+'Tab 6 - Financial Model'!$E$25)^'Tab 7 - Bylaw Continuity'!AO$9),0)</f>
        <v>0</v>
      </c>
      <c r="AP24" s="110">
        <f>IF(AND($D24=AP$9,$B24='Tab 6 - Financial Model'!$B17),('Tab 6 - Financial Model'!$D17*(1+'Tab 6 - Financial Model'!$E$25)^'Tab 7 - Bylaw Continuity'!AP$9),0)</f>
        <v>0</v>
      </c>
      <c r="AQ24" s="110">
        <f>IF(AND($D24=AQ$9,$B24='Tab 6 - Financial Model'!$B17),('Tab 6 - Financial Model'!$D17*(1+'Tab 6 - Financial Model'!$E$25)^'Tab 7 - Bylaw Continuity'!AQ$9),0)</f>
        <v>0</v>
      </c>
    </row>
    <row r="25" spans="1:43" ht="15" customHeight="1" x14ac:dyDescent="0.3">
      <c r="A25" s="191"/>
      <c r="B25" s="111" t="s">
        <v>228</v>
      </c>
      <c r="C25" s="112"/>
      <c r="D25" s="198">
        <f>SUMIF('Tab 6 - Financial Model'!$B$14:$B$21,'Tab 7 - Bylaw Continuity'!B24,'Tab 6 - Financial Model'!$F$14:$F$21)</f>
        <v>0.93</v>
      </c>
      <c r="E25" s="114">
        <f>E24*$D25</f>
        <v>0</v>
      </c>
      <c r="F25" s="115">
        <f t="shared" ref="F25:AQ25" si="6">F24*$D25</f>
        <v>0</v>
      </c>
      <c r="G25" s="115">
        <f t="shared" si="6"/>
        <v>0</v>
      </c>
      <c r="H25" s="115">
        <f t="shared" si="6"/>
        <v>0</v>
      </c>
      <c r="I25" s="115">
        <f t="shared" si="6"/>
        <v>0</v>
      </c>
      <c r="J25" s="115">
        <f t="shared" si="6"/>
        <v>0</v>
      </c>
      <c r="K25" s="115">
        <f t="shared" si="6"/>
        <v>0</v>
      </c>
      <c r="L25" s="115">
        <f t="shared" si="6"/>
        <v>0</v>
      </c>
      <c r="M25" s="115">
        <f t="shared" si="6"/>
        <v>0</v>
      </c>
      <c r="N25" s="115">
        <f t="shared" si="6"/>
        <v>0</v>
      </c>
      <c r="O25" s="115">
        <f t="shared" si="6"/>
        <v>0</v>
      </c>
      <c r="P25" s="115">
        <f t="shared" si="6"/>
        <v>0</v>
      </c>
      <c r="Q25" s="115">
        <f t="shared" si="6"/>
        <v>0</v>
      </c>
      <c r="R25" s="115">
        <f t="shared" si="6"/>
        <v>0</v>
      </c>
      <c r="S25" s="115">
        <f t="shared" si="6"/>
        <v>0</v>
      </c>
      <c r="T25" s="115">
        <f t="shared" si="6"/>
        <v>0</v>
      </c>
      <c r="U25" s="115">
        <f t="shared" si="6"/>
        <v>0</v>
      </c>
      <c r="V25" s="115">
        <f t="shared" si="6"/>
        <v>0</v>
      </c>
      <c r="W25" s="115">
        <f t="shared" si="6"/>
        <v>0</v>
      </c>
      <c r="X25" s="115">
        <f t="shared" si="6"/>
        <v>0</v>
      </c>
      <c r="Y25" s="115">
        <f t="shared" si="6"/>
        <v>30017306.486625582</v>
      </c>
      <c r="Z25" s="115">
        <f t="shared" si="6"/>
        <v>0</v>
      </c>
      <c r="AA25" s="115">
        <f t="shared" si="6"/>
        <v>0</v>
      </c>
      <c r="AB25" s="115">
        <f t="shared" si="6"/>
        <v>0</v>
      </c>
      <c r="AC25" s="115">
        <f t="shared" si="6"/>
        <v>0</v>
      </c>
      <c r="AD25" s="115">
        <f t="shared" si="6"/>
        <v>0</v>
      </c>
      <c r="AE25" s="115">
        <f t="shared" si="6"/>
        <v>0</v>
      </c>
      <c r="AF25" s="115">
        <f t="shared" si="6"/>
        <v>0</v>
      </c>
      <c r="AG25" s="115">
        <f t="shared" si="6"/>
        <v>0</v>
      </c>
      <c r="AH25" s="115">
        <f t="shared" si="6"/>
        <v>0</v>
      </c>
      <c r="AI25" s="115">
        <f t="shared" si="6"/>
        <v>0</v>
      </c>
      <c r="AJ25" s="115">
        <f t="shared" si="6"/>
        <v>0</v>
      </c>
      <c r="AK25" s="115">
        <f t="shared" si="6"/>
        <v>0</v>
      </c>
      <c r="AL25" s="115">
        <f t="shared" si="6"/>
        <v>0</v>
      </c>
      <c r="AM25" s="115">
        <f t="shared" si="6"/>
        <v>0</v>
      </c>
      <c r="AN25" s="115">
        <f t="shared" si="6"/>
        <v>0</v>
      </c>
      <c r="AO25" s="115">
        <f t="shared" si="6"/>
        <v>0</v>
      </c>
      <c r="AP25" s="115">
        <f t="shared" si="6"/>
        <v>0</v>
      </c>
      <c r="AQ25" s="115">
        <f t="shared" si="6"/>
        <v>0</v>
      </c>
    </row>
    <row r="26" spans="1:43" ht="15" customHeight="1" x14ac:dyDescent="0.3">
      <c r="A26" s="191"/>
      <c r="B26" s="116" t="s">
        <v>229</v>
      </c>
      <c r="C26" s="97"/>
      <c r="D26" s="97"/>
      <c r="E26" s="117">
        <f>E24-E25</f>
        <v>0</v>
      </c>
      <c r="F26" s="118">
        <f t="shared" ref="F26:AQ26" si="7">F24-F25</f>
        <v>0</v>
      </c>
      <c r="G26" s="118">
        <f t="shared" si="7"/>
        <v>0</v>
      </c>
      <c r="H26" s="118">
        <f t="shared" si="7"/>
        <v>0</v>
      </c>
      <c r="I26" s="118">
        <f t="shared" si="7"/>
        <v>0</v>
      </c>
      <c r="J26" s="118">
        <f t="shared" si="7"/>
        <v>0</v>
      </c>
      <c r="K26" s="118">
        <f t="shared" si="7"/>
        <v>0</v>
      </c>
      <c r="L26" s="118">
        <f t="shared" si="7"/>
        <v>0</v>
      </c>
      <c r="M26" s="118">
        <f t="shared" si="7"/>
        <v>0</v>
      </c>
      <c r="N26" s="118">
        <f t="shared" si="7"/>
        <v>0</v>
      </c>
      <c r="O26" s="118">
        <f t="shared" si="7"/>
        <v>0</v>
      </c>
      <c r="P26" s="118">
        <f t="shared" si="7"/>
        <v>0</v>
      </c>
      <c r="Q26" s="118">
        <f t="shared" si="7"/>
        <v>0</v>
      </c>
      <c r="R26" s="118">
        <f t="shared" si="7"/>
        <v>0</v>
      </c>
      <c r="S26" s="118">
        <f t="shared" si="7"/>
        <v>0</v>
      </c>
      <c r="T26" s="118">
        <f t="shared" si="7"/>
        <v>0</v>
      </c>
      <c r="U26" s="118">
        <f t="shared" si="7"/>
        <v>0</v>
      </c>
      <c r="V26" s="118">
        <f t="shared" si="7"/>
        <v>0</v>
      </c>
      <c r="W26" s="118">
        <f t="shared" si="7"/>
        <v>0</v>
      </c>
      <c r="X26" s="118">
        <f t="shared" si="7"/>
        <v>0</v>
      </c>
      <c r="Y26" s="118">
        <f t="shared" si="7"/>
        <v>2259367.1549073011</v>
      </c>
      <c r="Z26" s="118">
        <f t="shared" si="7"/>
        <v>0</v>
      </c>
      <c r="AA26" s="118">
        <f t="shared" si="7"/>
        <v>0</v>
      </c>
      <c r="AB26" s="118">
        <f t="shared" si="7"/>
        <v>0</v>
      </c>
      <c r="AC26" s="118">
        <f t="shared" si="7"/>
        <v>0</v>
      </c>
      <c r="AD26" s="118">
        <f t="shared" si="7"/>
        <v>0</v>
      </c>
      <c r="AE26" s="118">
        <f t="shared" si="7"/>
        <v>0</v>
      </c>
      <c r="AF26" s="118">
        <f t="shared" si="7"/>
        <v>0</v>
      </c>
      <c r="AG26" s="118">
        <f t="shared" si="7"/>
        <v>0</v>
      </c>
      <c r="AH26" s="118">
        <f t="shared" si="7"/>
        <v>0</v>
      </c>
      <c r="AI26" s="118">
        <f t="shared" si="7"/>
        <v>0</v>
      </c>
      <c r="AJ26" s="118">
        <f t="shared" si="7"/>
        <v>0</v>
      </c>
      <c r="AK26" s="118">
        <f t="shared" si="7"/>
        <v>0</v>
      </c>
      <c r="AL26" s="118">
        <f t="shared" si="7"/>
        <v>0</v>
      </c>
      <c r="AM26" s="118">
        <f t="shared" si="7"/>
        <v>0</v>
      </c>
      <c r="AN26" s="118">
        <f t="shared" si="7"/>
        <v>0</v>
      </c>
      <c r="AO26" s="118">
        <f t="shared" si="7"/>
        <v>0</v>
      </c>
      <c r="AP26" s="118">
        <f t="shared" si="7"/>
        <v>0</v>
      </c>
      <c r="AQ26" s="118">
        <f t="shared" si="7"/>
        <v>0</v>
      </c>
    </row>
    <row r="27" spans="1:43" ht="15" customHeight="1" x14ac:dyDescent="0.3">
      <c r="A27" s="191">
        <v>5</v>
      </c>
      <c r="B27" s="87" t="str">
        <f>'Tab 6 - Financial Model'!B18</f>
        <v xml:space="preserve">Rangeview Fire Station </v>
      </c>
      <c r="D27" s="109">
        <f>'Tab 6 - Financial Model'!I18</f>
        <v>14</v>
      </c>
      <c r="E27" s="110">
        <f>IF(AND($D27=E$9,$B27='Tab 6 - Financial Model'!$B18),('Tab 6 - Financial Model'!$D18*(1+'Tab 6 - Financial Model'!$E$25)^'Tab 7 - Bylaw Continuity'!E$9),0)</f>
        <v>0</v>
      </c>
      <c r="F27" s="110">
        <f>IF(AND($D27=F$9,$B27='Tab 6 - Financial Model'!$B18),('Tab 6 - Financial Model'!$D18*(1+'Tab 6 - Financial Model'!$E$25)^'Tab 7 - Bylaw Continuity'!F$9),0)</f>
        <v>0</v>
      </c>
      <c r="G27" s="110">
        <f>IF(AND($D27=G$9,$B27='Tab 6 - Financial Model'!$B18),('Tab 6 - Financial Model'!$D18*(1+'Tab 6 - Financial Model'!$E$25)^'Tab 7 - Bylaw Continuity'!G$9),0)</f>
        <v>0</v>
      </c>
      <c r="H27" s="110">
        <f>IF(AND($D27=H$9,$B27='Tab 6 - Financial Model'!$B18),('Tab 6 - Financial Model'!$D18*(1+'Tab 6 - Financial Model'!$E$25)^'Tab 7 - Bylaw Continuity'!H$9),0)</f>
        <v>0</v>
      </c>
      <c r="I27" s="110">
        <f>IF(AND($D27=I$9,$B27='Tab 6 - Financial Model'!$B18),('Tab 6 - Financial Model'!$D18*(1+'Tab 6 - Financial Model'!$E$25)^'Tab 7 - Bylaw Continuity'!I$9),0)</f>
        <v>0</v>
      </c>
      <c r="J27" s="110">
        <f>IF(AND($D27=J$9,$B27='Tab 6 - Financial Model'!$B18),('Tab 6 - Financial Model'!$D18*(1+'Tab 6 - Financial Model'!$E$25)^'Tab 7 - Bylaw Continuity'!J$9),0)</f>
        <v>0</v>
      </c>
      <c r="K27" s="110">
        <f>IF(AND($D27=K$9,$B27='Tab 6 - Financial Model'!$B18),('Tab 6 - Financial Model'!$D18*(1+'Tab 6 - Financial Model'!$E$25)^'Tab 7 - Bylaw Continuity'!K$9),0)</f>
        <v>0</v>
      </c>
      <c r="L27" s="110">
        <f>IF(AND($D27=L$9,$B27='Tab 6 - Financial Model'!$B18),('Tab 6 - Financial Model'!$D18*(1+'Tab 6 - Financial Model'!$E$25)^'Tab 7 - Bylaw Continuity'!L$9),0)</f>
        <v>0</v>
      </c>
      <c r="M27" s="110">
        <f>IF(AND($D27=M$9,$B27='Tab 6 - Financial Model'!$B18),('Tab 6 - Financial Model'!$D18*(1+'Tab 6 - Financial Model'!$E$25)^'Tab 7 - Bylaw Continuity'!M$9),0)</f>
        <v>0</v>
      </c>
      <c r="N27" s="110">
        <f>IF(AND($D27=N$9,$B27='Tab 6 - Financial Model'!$B18),('Tab 6 - Financial Model'!$D18*(1+'Tab 6 - Financial Model'!$E$25)^'Tab 7 - Bylaw Continuity'!N$9),0)</f>
        <v>0</v>
      </c>
      <c r="O27" s="110">
        <f>IF(AND($D27=O$9,$B27='Tab 6 - Financial Model'!$B18),('Tab 6 - Financial Model'!$D18*(1+'Tab 6 - Financial Model'!$E$25)^'Tab 7 - Bylaw Continuity'!O$9),0)</f>
        <v>0</v>
      </c>
      <c r="P27" s="110">
        <f>IF(AND($D27=P$9,$B27='Tab 6 - Financial Model'!$B18),('Tab 6 - Financial Model'!$D18*(1+'Tab 6 - Financial Model'!$E$25)^'Tab 7 - Bylaw Continuity'!P$9),0)</f>
        <v>0</v>
      </c>
      <c r="Q27" s="110">
        <f>IF(AND($D27=Q$9,$B27='Tab 6 - Financial Model'!$B18),('Tab 6 - Financial Model'!$D18*(1+'Tab 6 - Financial Model'!$E$25)^'Tab 7 - Bylaw Continuity'!Q$9),0)</f>
        <v>0</v>
      </c>
      <c r="R27" s="110">
        <f>IF(AND($D27=R$9,$B27='Tab 6 - Financial Model'!$B18),('Tab 6 - Financial Model'!$D18*(1+'Tab 6 - Financial Model'!$E$25)^'Tab 7 - Bylaw Continuity'!R$9),0)</f>
        <v>0</v>
      </c>
      <c r="S27" s="110">
        <f>IF(AND($D27=S$9,$B27='Tab 6 - Financial Model'!$B18),('Tab 6 - Financial Model'!$D18*(1+'Tab 6 - Financial Model'!$E$25)^'Tab 7 - Bylaw Continuity'!S$9),0)</f>
        <v>0</v>
      </c>
      <c r="T27" s="110">
        <f>IF(AND($D27=T$9,$B27='Tab 6 - Financial Model'!$B18),('Tab 6 - Financial Model'!$D18*(1+'Tab 6 - Financial Model'!$E$25)^'Tab 7 - Bylaw Continuity'!T$9),0)</f>
        <v>0</v>
      </c>
      <c r="U27" s="110">
        <f>IF(AND($D27=U$9,$B27='Tab 6 - Financial Model'!$B18),('Tab 6 - Financial Model'!$D18*(1+'Tab 6 - Financial Model'!$E$25)^'Tab 7 - Bylaw Continuity'!U$9),0)</f>
        <v>0</v>
      </c>
      <c r="V27" s="110">
        <f>IF(AND($D27=V$9,$B27='Tab 6 - Financial Model'!$B18),('Tab 6 - Financial Model'!$D18*(1+'Tab 6 - Financial Model'!$E$25)^'Tab 7 - Bylaw Continuity'!V$9),0)</f>
        <v>36162210.279093951</v>
      </c>
      <c r="W27" s="110">
        <f>IF(AND($D27=W$9,$B27='Tab 6 - Financial Model'!$B18),('Tab 6 - Financial Model'!$D18*(1+'Tab 6 - Financial Model'!$E$25)^'Tab 7 - Bylaw Continuity'!W$9),0)</f>
        <v>0</v>
      </c>
      <c r="X27" s="110">
        <f>IF(AND($D27=X$9,$B27='Tab 6 - Financial Model'!$B18),('Tab 6 - Financial Model'!$D18*(1+'Tab 6 - Financial Model'!$E$25)^'Tab 7 - Bylaw Continuity'!X$9),0)</f>
        <v>0</v>
      </c>
      <c r="Y27" s="110">
        <f>IF(AND($D27=Y$9,$B27='Tab 6 - Financial Model'!$B18),('Tab 6 - Financial Model'!$D18*(1+'Tab 6 - Financial Model'!$E$25)^'Tab 7 - Bylaw Continuity'!Y$9),0)</f>
        <v>0</v>
      </c>
      <c r="Z27" s="110">
        <f>IF(AND($D27=Z$9,$B27='Tab 6 - Financial Model'!$B18),('Tab 6 - Financial Model'!$D18*(1+'Tab 6 - Financial Model'!$E$25)^'Tab 7 - Bylaw Continuity'!Z$9),0)</f>
        <v>0</v>
      </c>
      <c r="AA27" s="110">
        <f>IF(AND($D27=AA$9,$B27='Tab 6 - Financial Model'!$B18),('Tab 6 - Financial Model'!$D18*(1+'Tab 6 - Financial Model'!$E$25)^'Tab 7 - Bylaw Continuity'!AA$9),0)</f>
        <v>0</v>
      </c>
      <c r="AB27" s="110">
        <f>IF(AND($D27=AB$9,$B27='Tab 6 - Financial Model'!$B18),('Tab 6 - Financial Model'!$D18*(1+'Tab 6 - Financial Model'!$E$25)^'Tab 7 - Bylaw Continuity'!AB$9),0)</f>
        <v>0</v>
      </c>
      <c r="AC27" s="110">
        <f>IF(AND($D27=AC$9,$B27='Tab 6 - Financial Model'!$B18),('Tab 6 - Financial Model'!$D18*(1+'Tab 6 - Financial Model'!$E$25)^'Tab 7 - Bylaw Continuity'!AC$9),0)</f>
        <v>0</v>
      </c>
      <c r="AD27" s="110">
        <f>IF(AND($D27=AD$9,$B27='Tab 6 - Financial Model'!$B18),('Tab 6 - Financial Model'!$D18*(1+'Tab 6 - Financial Model'!$E$25)^'Tab 7 - Bylaw Continuity'!AD$9),0)</f>
        <v>0</v>
      </c>
      <c r="AE27" s="110">
        <f>IF(AND($D27=AE$9,$B27='Tab 6 - Financial Model'!$B18),('Tab 6 - Financial Model'!$D18*(1+'Tab 6 - Financial Model'!$E$25)^'Tab 7 - Bylaw Continuity'!AE$9),0)</f>
        <v>0</v>
      </c>
      <c r="AF27" s="110">
        <f>IF(AND($D27=AF$9,$B27='Tab 6 - Financial Model'!$B18),('Tab 6 - Financial Model'!$D18*(1+'Tab 6 - Financial Model'!$E$25)^'Tab 7 - Bylaw Continuity'!AF$9),0)</f>
        <v>0</v>
      </c>
      <c r="AG27" s="110">
        <f>IF(AND($D27=AG$9,$B27='Tab 6 - Financial Model'!$B18),('Tab 6 - Financial Model'!$D18*(1+'Tab 6 - Financial Model'!$E$25)^'Tab 7 - Bylaw Continuity'!AG$9),0)</f>
        <v>0</v>
      </c>
      <c r="AH27" s="110">
        <f>IF(AND($D27=AH$9,$B27='Tab 6 - Financial Model'!$B18),('Tab 6 - Financial Model'!$D18*(1+'Tab 6 - Financial Model'!$E$25)^'Tab 7 - Bylaw Continuity'!AH$9),0)</f>
        <v>0</v>
      </c>
      <c r="AI27" s="110">
        <f>IF(AND($D27=AI$9,$B27='Tab 6 - Financial Model'!$B18),('Tab 6 - Financial Model'!$D18*(1+'Tab 6 - Financial Model'!$E$25)^'Tab 7 - Bylaw Continuity'!AI$9),0)</f>
        <v>0</v>
      </c>
      <c r="AJ27" s="110">
        <f>IF(AND($D27=AJ$9,$B27='Tab 6 - Financial Model'!$B18),('Tab 6 - Financial Model'!$D18*(1+'Tab 6 - Financial Model'!$E$25)^'Tab 7 - Bylaw Continuity'!AJ$9),0)</f>
        <v>0</v>
      </c>
      <c r="AK27" s="110">
        <f>IF(AND($D27=AK$9,$B27='Tab 6 - Financial Model'!$B18),('Tab 6 - Financial Model'!$D18*(1+'Tab 6 - Financial Model'!$E$25)^'Tab 7 - Bylaw Continuity'!AK$9),0)</f>
        <v>0</v>
      </c>
      <c r="AL27" s="110">
        <f>IF(AND($D27=AL$9,$B27='Tab 6 - Financial Model'!$B18),('Tab 6 - Financial Model'!$D18*(1+'Tab 6 - Financial Model'!$E$25)^'Tab 7 - Bylaw Continuity'!AL$9),0)</f>
        <v>0</v>
      </c>
      <c r="AM27" s="110">
        <f>IF(AND($D27=AM$9,$B27='Tab 6 - Financial Model'!$B18),('Tab 6 - Financial Model'!$D18*(1+'Tab 6 - Financial Model'!$E$25)^'Tab 7 - Bylaw Continuity'!AM$9),0)</f>
        <v>0</v>
      </c>
      <c r="AN27" s="110">
        <f>IF(AND($D27=AN$9,$B27='Tab 6 - Financial Model'!$B18),('Tab 6 - Financial Model'!$D18*(1+'Tab 6 - Financial Model'!$E$25)^'Tab 7 - Bylaw Continuity'!AN$9),0)</f>
        <v>0</v>
      </c>
      <c r="AO27" s="110">
        <f>IF(AND($D27=AO$9,$B27='Tab 6 - Financial Model'!$B18),('Tab 6 - Financial Model'!$D18*(1+'Tab 6 - Financial Model'!$E$25)^'Tab 7 - Bylaw Continuity'!AO$9),0)</f>
        <v>0</v>
      </c>
      <c r="AP27" s="110">
        <f>IF(AND($D27=AP$9,$B27='Tab 6 - Financial Model'!$B18),('Tab 6 - Financial Model'!$D18*(1+'Tab 6 - Financial Model'!$E$25)^'Tab 7 - Bylaw Continuity'!AP$9),0)</f>
        <v>0</v>
      </c>
      <c r="AQ27" s="110">
        <f>IF(AND($D27=AQ$9,$B27='Tab 6 - Financial Model'!$B18),('Tab 6 - Financial Model'!$D18*(1+'Tab 6 - Financial Model'!$E$25)^'Tab 7 - Bylaw Continuity'!AQ$9),0)</f>
        <v>0</v>
      </c>
    </row>
    <row r="28" spans="1:43" ht="15" customHeight="1" x14ac:dyDescent="0.3">
      <c r="A28" s="191"/>
      <c r="B28" s="111" t="s">
        <v>228</v>
      </c>
      <c r="C28" s="112"/>
      <c r="D28" s="198">
        <f>SUMIF('Tab 6 - Financial Model'!$B$14:$B$21,'Tab 7 - Bylaw Continuity'!B27,'Tab 6 - Financial Model'!$F$14:$F$21)</f>
        <v>0.8</v>
      </c>
      <c r="E28" s="114">
        <f>E27*$D28</f>
        <v>0</v>
      </c>
      <c r="F28" s="115">
        <f t="shared" ref="F28:AQ28" si="8">F27*$D28</f>
        <v>0</v>
      </c>
      <c r="G28" s="115">
        <f t="shared" si="8"/>
        <v>0</v>
      </c>
      <c r="H28" s="115">
        <f t="shared" si="8"/>
        <v>0</v>
      </c>
      <c r="I28" s="115">
        <f t="shared" si="8"/>
        <v>0</v>
      </c>
      <c r="J28" s="115">
        <f t="shared" si="8"/>
        <v>0</v>
      </c>
      <c r="K28" s="115">
        <f t="shared" si="8"/>
        <v>0</v>
      </c>
      <c r="L28" s="115">
        <f t="shared" si="8"/>
        <v>0</v>
      </c>
      <c r="M28" s="115">
        <f t="shared" si="8"/>
        <v>0</v>
      </c>
      <c r="N28" s="115">
        <f t="shared" si="8"/>
        <v>0</v>
      </c>
      <c r="O28" s="115">
        <f t="shared" si="8"/>
        <v>0</v>
      </c>
      <c r="P28" s="115">
        <f t="shared" si="8"/>
        <v>0</v>
      </c>
      <c r="Q28" s="115">
        <f t="shared" si="8"/>
        <v>0</v>
      </c>
      <c r="R28" s="115">
        <f t="shared" si="8"/>
        <v>0</v>
      </c>
      <c r="S28" s="115">
        <f t="shared" si="8"/>
        <v>0</v>
      </c>
      <c r="T28" s="115">
        <f t="shared" si="8"/>
        <v>0</v>
      </c>
      <c r="U28" s="115">
        <f t="shared" si="8"/>
        <v>0</v>
      </c>
      <c r="V28" s="115">
        <f t="shared" si="8"/>
        <v>28929768.223275162</v>
      </c>
      <c r="W28" s="115">
        <f t="shared" si="8"/>
        <v>0</v>
      </c>
      <c r="X28" s="115">
        <f t="shared" si="8"/>
        <v>0</v>
      </c>
      <c r="Y28" s="115">
        <f t="shared" si="8"/>
        <v>0</v>
      </c>
      <c r="Z28" s="115">
        <f t="shared" si="8"/>
        <v>0</v>
      </c>
      <c r="AA28" s="115">
        <f t="shared" si="8"/>
        <v>0</v>
      </c>
      <c r="AB28" s="115">
        <f t="shared" si="8"/>
        <v>0</v>
      </c>
      <c r="AC28" s="115">
        <f t="shared" si="8"/>
        <v>0</v>
      </c>
      <c r="AD28" s="115">
        <f t="shared" si="8"/>
        <v>0</v>
      </c>
      <c r="AE28" s="115">
        <f t="shared" si="8"/>
        <v>0</v>
      </c>
      <c r="AF28" s="115">
        <f t="shared" si="8"/>
        <v>0</v>
      </c>
      <c r="AG28" s="115">
        <f t="shared" si="8"/>
        <v>0</v>
      </c>
      <c r="AH28" s="115">
        <f t="shared" si="8"/>
        <v>0</v>
      </c>
      <c r="AI28" s="115">
        <f t="shared" si="8"/>
        <v>0</v>
      </c>
      <c r="AJ28" s="115">
        <f t="shared" si="8"/>
        <v>0</v>
      </c>
      <c r="AK28" s="115">
        <f t="shared" si="8"/>
        <v>0</v>
      </c>
      <c r="AL28" s="115">
        <f t="shared" si="8"/>
        <v>0</v>
      </c>
      <c r="AM28" s="115">
        <f t="shared" si="8"/>
        <v>0</v>
      </c>
      <c r="AN28" s="115">
        <f t="shared" si="8"/>
        <v>0</v>
      </c>
      <c r="AO28" s="115">
        <f t="shared" si="8"/>
        <v>0</v>
      </c>
      <c r="AP28" s="115">
        <f t="shared" si="8"/>
        <v>0</v>
      </c>
      <c r="AQ28" s="115">
        <f t="shared" si="8"/>
        <v>0</v>
      </c>
    </row>
    <row r="29" spans="1:43" ht="15" customHeight="1" x14ac:dyDescent="0.3">
      <c r="A29" s="191"/>
      <c r="B29" s="116" t="s">
        <v>229</v>
      </c>
      <c r="C29" s="97"/>
      <c r="D29" s="97"/>
      <c r="E29" s="117">
        <f>E27-E28</f>
        <v>0</v>
      </c>
      <c r="F29" s="118">
        <f t="shared" ref="F29:AQ29" si="9">F27-F28</f>
        <v>0</v>
      </c>
      <c r="G29" s="118">
        <f t="shared" si="9"/>
        <v>0</v>
      </c>
      <c r="H29" s="118">
        <f t="shared" si="9"/>
        <v>0</v>
      </c>
      <c r="I29" s="118">
        <f t="shared" si="9"/>
        <v>0</v>
      </c>
      <c r="J29" s="118">
        <f t="shared" si="9"/>
        <v>0</v>
      </c>
      <c r="K29" s="118">
        <f t="shared" si="9"/>
        <v>0</v>
      </c>
      <c r="L29" s="118">
        <f t="shared" si="9"/>
        <v>0</v>
      </c>
      <c r="M29" s="118">
        <f t="shared" si="9"/>
        <v>0</v>
      </c>
      <c r="N29" s="118">
        <f t="shared" si="9"/>
        <v>0</v>
      </c>
      <c r="O29" s="118">
        <f t="shared" si="9"/>
        <v>0</v>
      </c>
      <c r="P29" s="118">
        <f t="shared" si="9"/>
        <v>0</v>
      </c>
      <c r="Q29" s="118">
        <f t="shared" si="9"/>
        <v>0</v>
      </c>
      <c r="R29" s="118">
        <f t="shared" si="9"/>
        <v>0</v>
      </c>
      <c r="S29" s="118">
        <f t="shared" si="9"/>
        <v>0</v>
      </c>
      <c r="T29" s="118">
        <f t="shared" si="9"/>
        <v>0</v>
      </c>
      <c r="U29" s="118">
        <f t="shared" si="9"/>
        <v>0</v>
      </c>
      <c r="V29" s="118">
        <f t="shared" si="9"/>
        <v>7232442.0558187887</v>
      </c>
      <c r="W29" s="118">
        <f t="shared" si="9"/>
        <v>0</v>
      </c>
      <c r="X29" s="118">
        <f t="shared" si="9"/>
        <v>0</v>
      </c>
      <c r="Y29" s="118">
        <f t="shared" si="9"/>
        <v>0</v>
      </c>
      <c r="Z29" s="118">
        <f t="shared" si="9"/>
        <v>0</v>
      </c>
      <c r="AA29" s="118">
        <f t="shared" si="9"/>
        <v>0</v>
      </c>
      <c r="AB29" s="118">
        <f t="shared" si="9"/>
        <v>0</v>
      </c>
      <c r="AC29" s="118">
        <f t="shared" si="9"/>
        <v>0</v>
      </c>
      <c r="AD29" s="118">
        <f t="shared" si="9"/>
        <v>0</v>
      </c>
      <c r="AE29" s="118">
        <f t="shared" si="9"/>
        <v>0</v>
      </c>
      <c r="AF29" s="118">
        <f t="shared" si="9"/>
        <v>0</v>
      </c>
      <c r="AG29" s="118">
        <f t="shared" si="9"/>
        <v>0</v>
      </c>
      <c r="AH29" s="118">
        <f t="shared" si="9"/>
        <v>0</v>
      </c>
      <c r="AI29" s="118">
        <f t="shared" si="9"/>
        <v>0</v>
      </c>
      <c r="AJ29" s="118">
        <f t="shared" si="9"/>
        <v>0</v>
      </c>
      <c r="AK29" s="118">
        <f t="shared" si="9"/>
        <v>0</v>
      </c>
      <c r="AL29" s="118">
        <f t="shared" si="9"/>
        <v>0</v>
      </c>
      <c r="AM29" s="118">
        <f t="shared" si="9"/>
        <v>0</v>
      </c>
      <c r="AN29" s="118">
        <f t="shared" si="9"/>
        <v>0</v>
      </c>
      <c r="AO29" s="118">
        <f t="shared" si="9"/>
        <v>0</v>
      </c>
      <c r="AP29" s="118">
        <f t="shared" si="9"/>
        <v>0</v>
      </c>
      <c r="AQ29" s="118">
        <f t="shared" si="9"/>
        <v>0</v>
      </c>
    </row>
    <row r="30" spans="1:43" ht="15" customHeight="1" x14ac:dyDescent="0.3">
      <c r="A30" s="191">
        <v>6</v>
      </c>
      <c r="B30" s="87" t="str">
        <f>'Tab 6 - Financial Model'!B19</f>
        <v>South Shepard Fire Station</v>
      </c>
      <c r="D30" s="109">
        <f>'Tab 6 - Financial Model'!I19</f>
        <v>10</v>
      </c>
      <c r="E30" s="110">
        <f>IF(AND($D30=E$9,$B30='Tab 6 - Financial Model'!$B19),('Tab 6 - Financial Model'!$D19*(1+'Tab 6 - Financial Model'!$E$25)^'Tab 7 - Bylaw Continuity'!E$9),0)</f>
        <v>0</v>
      </c>
      <c r="F30" s="110">
        <f>IF(AND($D30=F$9,$B30='Tab 6 - Financial Model'!$B19),('Tab 6 - Financial Model'!$D19*(1+'Tab 6 - Financial Model'!$E$25)^'Tab 7 - Bylaw Continuity'!F$9),0)</f>
        <v>0</v>
      </c>
      <c r="G30" s="110">
        <f>IF(AND($D30=G$9,$B30='Tab 6 - Financial Model'!$B19),('Tab 6 - Financial Model'!$D19*(1+'Tab 6 - Financial Model'!$E$25)^'Tab 7 - Bylaw Continuity'!G$9),0)</f>
        <v>0</v>
      </c>
      <c r="H30" s="110">
        <f>IF(AND($D30=H$9,$B30='Tab 6 - Financial Model'!$B19),('Tab 6 - Financial Model'!$D19*(1+'Tab 6 - Financial Model'!$E$25)^'Tab 7 - Bylaw Continuity'!H$9),0)</f>
        <v>0</v>
      </c>
      <c r="I30" s="110">
        <f>IF(AND($D30=I$9,$B30='Tab 6 - Financial Model'!$B19),('Tab 6 - Financial Model'!$D19*(1+'Tab 6 - Financial Model'!$E$25)^'Tab 7 - Bylaw Continuity'!I$9),0)</f>
        <v>0</v>
      </c>
      <c r="J30" s="110">
        <f>IF(AND($D30=J$9,$B30='Tab 6 - Financial Model'!$B19),('Tab 6 - Financial Model'!$D19*(1+'Tab 6 - Financial Model'!$E$25)^'Tab 7 - Bylaw Continuity'!J$9),0)</f>
        <v>0</v>
      </c>
      <c r="K30" s="110">
        <f>IF(AND($D30=K$9,$B30='Tab 6 - Financial Model'!$B19),('Tab 6 - Financial Model'!$D19*(1+'Tab 6 - Financial Model'!$E$25)^'Tab 7 - Bylaw Continuity'!K$9),0)</f>
        <v>0</v>
      </c>
      <c r="L30" s="110">
        <f>IF(AND($D30=L$9,$B30='Tab 6 - Financial Model'!$B19),('Tab 6 - Financial Model'!$D19*(1+'Tab 6 - Financial Model'!$E$25)^'Tab 7 - Bylaw Continuity'!L$9),0)</f>
        <v>0</v>
      </c>
      <c r="M30" s="110">
        <f>IF(AND($D30=M$9,$B30='Tab 6 - Financial Model'!$B19),('Tab 6 - Financial Model'!$D19*(1+'Tab 6 - Financial Model'!$E$25)^'Tab 7 - Bylaw Continuity'!M$9),0)</f>
        <v>0</v>
      </c>
      <c r="N30" s="110">
        <f>IF(AND($D30=N$9,$B30='Tab 6 - Financial Model'!$B19),('Tab 6 - Financial Model'!$D19*(1+'Tab 6 - Financial Model'!$E$25)^'Tab 7 - Bylaw Continuity'!N$9),0)</f>
        <v>0</v>
      </c>
      <c r="O30" s="110">
        <f>IF(AND($D30=O$9,$B30='Tab 6 - Financial Model'!$B19),('Tab 6 - Financial Model'!$D19*(1+'Tab 6 - Financial Model'!$E$25)^'Tab 7 - Bylaw Continuity'!O$9),0)</f>
        <v>0</v>
      </c>
      <c r="P30" s="110">
        <f>IF(AND($D30=P$9,$B30='Tab 6 - Financial Model'!$B19),('Tab 6 - Financial Model'!$D19*(1+'Tab 6 - Financial Model'!$E$25)^'Tab 7 - Bylaw Continuity'!P$9),0)</f>
        <v>0</v>
      </c>
      <c r="Q30" s="110">
        <f>IF(AND($D30=Q$9,$B30='Tab 6 - Financial Model'!$B19),('Tab 6 - Financial Model'!$D19*(1+'Tab 6 - Financial Model'!$E$25)^'Tab 7 - Bylaw Continuity'!Q$9),0)</f>
        <v>0</v>
      </c>
      <c r="R30" s="110">
        <f>IF(AND($D30=R$9,$B30='Tab 6 - Financial Model'!$B19),('Tab 6 - Financial Model'!$D19*(1+'Tab 6 - Financial Model'!$E$25)^'Tab 7 - Bylaw Continuity'!R$9),0)</f>
        <v>25232333.967342556</v>
      </c>
      <c r="S30" s="110">
        <f>IF(AND($D30=S$9,$B30='Tab 6 - Financial Model'!$B19),('Tab 6 - Financial Model'!$D19*(1+'Tab 6 - Financial Model'!$E$25)^'Tab 7 - Bylaw Continuity'!S$9),0)</f>
        <v>0</v>
      </c>
      <c r="T30" s="110">
        <f>IF(AND($D30=T$9,$B30='Tab 6 - Financial Model'!$B19),('Tab 6 - Financial Model'!$D19*(1+'Tab 6 - Financial Model'!$E$25)^'Tab 7 - Bylaw Continuity'!T$9),0)</f>
        <v>0</v>
      </c>
      <c r="U30" s="110">
        <f>IF(AND($D30=U$9,$B30='Tab 6 - Financial Model'!$B19),('Tab 6 - Financial Model'!$D19*(1+'Tab 6 - Financial Model'!$E$25)^'Tab 7 - Bylaw Continuity'!U$9),0)</f>
        <v>0</v>
      </c>
      <c r="V30" s="110">
        <f>IF(AND($D30=V$9,$B30='Tab 6 - Financial Model'!$B19),('Tab 6 - Financial Model'!$D19*(1+'Tab 6 - Financial Model'!$E$25)^'Tab 7 - Bylaw Continuity'!V$9),0)</f>
        <v>0</v>
      </c>
      <c r="W30" s="110">
        <f>IF(AND($D30=W$9,$B30='Tab 6 - Financial Model'!$B19),('Tab 6 - Financial Model'!$D19*(1+'Tab 6 - Financial Model'!$E$25)^'Tab 7 - Bylaw Continuity'!W$9),0)</f>
        <v>0</v>
      </c>
      <c r="X30" s="110">
        <f>IF(AND($D30=X$9,$B30='Tab 6 - Financial Model'!$B19),('Tab 6 - Financial Model'!$D19*(1+'Tab 6 - Financial Model'!$E$25)^'Tab 7 - Bylaw Continuity'!X$9),0)</f>
        <v>0</v>
      </c>
      <c r="Y30" s="110">
        <f>IF(AND($D30=Y$9,$B30='Tab 6 - Financial Model'!$B19),('Tab 6 - Financial Model'!$D19*(1+'Tab 6 - Financial Model'!$E$25)^'Tab 7 - Bylaw Continuity'!Y$9),0)</f>
        <v>0</v>
      </c>
      <c r="Z30" s="110">
        <f>IF(AND($D30=Z$9,$B30='Tab 6 - Financial Model'!$B19),('Tab 6 - Financial Model'!$D19*(1+'Tab 6 - Financial Model'!$E$25)^'Tab 7 - Bylaw Continuity'!Z$9),0)</f>
        <v>0</v>
      </c>
      <c r="AA30" s="110">
        <f>IF(AND($D30=AA$9,$B30='Tab 6 - Financial Model'!$B19),('Tab 6 - Financial Model'!$D19*(1+'Tab 6 - Financial Model'!$E$25)^'Tab 7 - Bylaw Continuity'!AA$9),0)</f>
        <v>0</v>
      </c>
      <c r="AB30" s="110">
        <f>IF(AND($D30=AB$9,$B30='Tab 6 - Financial Model'!$B19),('Tab 6 - Financial Model'!$D19*(1+'Tab 6 - Financial Model'!$E$25)^'Tab 7 - Bylaw Continuity'!AB$9),0)</f>
        <v>0</v>
      </c>
      <c r="AC30" s="110">
        <f>IF(AND($D30=AC$9,$B30='Tab 6 - Financial Model'!$B19),('Tab 6 - Financial Model'!$D19*(1+'Tab 6 - Financial Model'!$E$25)^'Tab 7 - Bylaw Continuity'!AC$9),0)</f>
        <v>0</v>
      </c>
      <c r="AD30" s="110">
        <f>IF(AND($D30=AD$9,$B30='Tab 6 - Financial Model'!$B19),('Tab 6 - Financial Model'!$D19*(1+'Tab 6 - Financial Model'!$E$25)^'Tab 7 - Bylaw Continuity'!AD$9),0)</f>
        <v>0</v>
      </c>
      <c r="AE30" s="110">
        <f>IF(AND($D30=AE$9,$B30='Tab 6 - Financial Model'!$B19),('Tab 6 - Financial Model'!$D19*(1+'Tab 6 - Financial Model'!$E$25)^'Tab 7 - Bylaw Continuity'!AE$9),0)</f>
        <v>0</v>
      </c>
      <c r="AF30" s="110">
        <f>IF(AND($D30=AF$9,$B30='Tab 6 - Financial Model'!$B19),('Tab 6 - Financial Model'!$D19*(1+'Tab 6 - Financial Model'!$E$25)^'Tab 7 - Bylaw Continuity'!AF$9),0)</f>
        <v>0</v>
      </c>
      <c r="AG30" s="110">
        <f>IF(AND($D30=AG$9,$B30='Tab 6 - Financial Model'!$B19),('Tab 6 - Financial Model'!$D19*(1+'Tab 6 - Financial Model'!$E$25)^'Tab 7 - Bylaw Continuity'!AG$9),0)</f>
        <v>0</v>
      </c>
      <c r="AH30" s="110">
        <f>IF(AND($D30=AH$9,$B30='Tab 6 - Financial Model'!$B19),('Tab 6 - Financial Model'!$D19*(1+'Tab 6 - Financial Model'!$E$25)^'Tab 7 - Bylaw Continuity'!AH$9),0)</f>
        <v>0</v>
      </c>
      <c r="AI30" s="110">
        <f>IF(AND($D30=AI$9,$B30='Tab 6 - Financial Model'!$B19),('Tab 6 - Financial Model'!$D19*(1+'Tab 6 - Financial Model'!$E$25)^'Tab 7 - Bylaw Continuity'!AI$9),0)</f>
        <v>0</v>
      </c>
      <c r="AJ30" s="110">
        <f>IF(AND($D30=AJ$9,$B30='Tab 6 - Financial Model'!$B19),('Tab 6 - Financial Model'!$D19*(1+'Tab 6 - Financial Model'!$E$25)^'Tab 7 - Bylaw Continuity'!AJ$9),0)</f>
        <v>0</v>
      </c>
      <c r="AK30" s="110">
        <f>IF(AND($D30=AK$9,$B30='Tab 6 - Financial Model'!$B19),('Tab 6 - Financial Model'!$D19*(1+'Tab 6 - Financial Model'!$E$25)^'Tab 7 - Bylaw Continuity'!AK$9),0)</f>
        <v>0</v>
      </c>
      <c r="AL30" s="110">
        <f>IF(AND($D30=AL$9,$B30='Tab 6 - Financial Model'!$B19),('Tab 6 - Financial Model'!$D19*(1+'Tab 6 - Financial Model'!$E$25)^'Tab 7 - Bylaw Continuity'!AL$9),0)</f>
        <v>0</v>
      </c>
      <c r="AM30" s="110">
        <f>IF(AND($D30=AM$9,$B30='Tab 6 - Financial Model'!$B19),('Tab 6 - Financial Model'!$D19*(1+'Tab 6 - Financial Model'!$E$25)^'Tab 7 - Bylaw Continuity'!AM$9),0)</f>
        <v>0</v>
      </c>
      <c r="AN30" s="110">
        <f>IF(AND($D30=AN$9,$B30='Tab 6 - Financial Model'!$B19),('Tab 6 - Financial Model'!$D19*(1+'Tab 6 - Financial Model'!$E$25)^'Tab 7 - Bylaw Continuity'!AN$9),0)</f>
        <v>0</v>
      </c>
      <c r="AO30" s="110">
        <f>IF(AND($D30=AO$9,$B30='Tab 6 - Financial Model'!$B19),('Tab 6 - Financial Model'!$D19*(1+'Tab 6 - Financial Model'!$E$25)^'Tab 7 - Bylaw Continuity'!AO$9),0)</f>
        <v>0</v>
      </c>
      <c r="AP30" s="110">
        <f>IF(AND($D30=AP$9,$B30='Tab 6 - Financial Model'!$B19),('Tab 6 - Financial Model'!$D19*(1+'Tab 6 - Financial Model'!$E$25)^'Tab 7 - Bylaw Continuity'!AP$9),0)</f>
        <v>0</v>
      </c>
      <c r="AQ30" s="110">
        <f>IF(AND($D30=AQ$9,$B30='Tab 6 - Financial Model'!$B19),('Tab 6 - Financial Model'!$D19*(1+'Tab 6 - Financial Model'!$E$25)^'Tab 7 - Bylaw Continuity'!AQ$9),0)</f>
        <v>0</v>
      </c>
    </row>
    <row r="31" spans="1:43" ht="15" customHeight="1" x14ac:dyDescent="0.3">
      <c r="A31" s="191"/>
      <c r="B31" s="111" t="s">
        <v>228</v>
      </c>
      <c r="C31" s="112"/>
      <c r="D31" s="198">
        <f>SUMIF('Tab 6 - Financial Model'!$B$14:$B$21,'Tab 7 - Bylaw Continuity'!B30,'Tab 6 - Financial Model'!$F$14:$F$21)</f>
        <v>0.97</v>
      </c>
      <c r="E31" s="114">
        <f>E30*$D31</f>
        <v>0</v>
      </c>
      <c r="F31" s="115">
        <f t="shared" ref="F31:AQ31" si="10">F30*$D31</f>
        <v>0</v>
      </c>
      <c r="G31" s="115">
        <f t="shared" si="10"/>
        <v>0</v>
      </c>
      <c r="H31" s="115">
        <f t="shared" si="10"/>
        <v>0</v>
      </c>
      <c r="I31" s="115">
        <f t="shared" si="10"/>
        <v>0</v>
      </c>
      <c r="J31" s="115">
        <f t="shared" si="10"/>
        <v>0</v>
      </c>
      <c r="K31" s="115">
        <f t="shared" si="10"/>
        <v>0</v>
      </c>
      <c r="L31" s="115">
        <f t="shared" si="10"/>
        <v>0</v>
      </c>
      <c r="M31" s="115">
        <f t="shared" si="10"/>
        <v>0</v>
      </c>
      <c r="N31" s="115">
        <f t="shared" si="10"/>
        <v>0</v>
      </c>
      <c r="O31" s="115">
        <f t="shared" si="10"/>
        <v>0</v>
      </c>
      <c r="P31" s="115">
        <f t="shared" si="10"/>
        <v>0</v>
      </c>
      <c r="Q31" s="115">
        <f t="shared" si="10"/>
        <v>0</v>
      </c>
      <c r="R31" s="115">
        <f t="shared" si="10"/>
        <v>24475363.948322278</v>
      </c>
      <c r="S31" s="115">
        <f t="shared" si="10"/>
        <v>0</v>
      </c>
      <c r="T31" s="115">
        <f t="shared" si="10"/>
        <v>0</v>
      </c>
      <c r="U31" s="115">
        <f t="shared" si="10"/>
        <v>0</v>
      </c>
      <c r="V31" s="115">
        <f t="shared" si="10"/>
        <v>0</v>
      </c>
      <c r="W31" s="115">
        <f t="shared" si="10"/>
        <v>0</v>
      </c>
      <c r="X31" s="115">
        <f t="shared" si="10"/>
        <v>0</v>
      </c>
      <c r="Y31" s="115">
        <f t="shared" si="10"/>
        <v>0</v>
      </c>
      <c r="Z31" s="115">
        <f t="shared" si="10"/>
        <v>0</v>
      </c>
      <c r="AA31" s="115">
        <f t="shared" si="10"/>
        <v>0</v>
      </c>
      <c r="AB31" s="115">
        <f t="shared" si="10"/>
        <v>0</v>
      </c>
      <c r="AC31" s="115">
        <f t="shared" si="10"/>
        <v>0</v>
      </c>
      <c r="AD31" s="115">
        <f t="shared" si="10"/>
        <v>0</v>
      </c>
      <c r="AE31" s="115">
        <f t="shared" si="10"/>
        <v>0</v>
      </c>
      <c r="AF31" s="115">
        <f t="shared" si="10"/>
        <v>0</v>
      </c>
      <c r="AG31" s="115">
        <f t="shared" si="10"/>
        <v>0</v>
      </c>
      <c r="AH31" s="115">
        <f t="shared" si="10"/>
        <v>0</v>
      </c>
      <c r="AI31" s="115">
        <f t="shared" si="10"/>
        <v>0</v>
      </c>
      <c r="AJ31" s="115">
        <f t="shared" si="10"/>
        <v>0</v>
      </c>
      <c r="AK31" s="115">
        <f t="shared" si="10"/>
        <v>0</v>
      </c>
      <c r="AL31" s="115">
        <f t="shared" si="10"/>
        <v>0</v>
      </c>
      <c r="AM31" s="115">
        <f t="shared" si="10"/>
        <v>0</v>
      </c>
      <c r="AN31" s="115">
        <f t="shared" si="10"/>
        <v>0</v>
      </c>
      <c r="AO31" s="115">
        <f t="shared" si="10"/>
        <v>0</v>
      </c>
      <c r="AP31" s="115">
        <f t="shared" si="10"/>
        <v>0</v>
      </c>
      <c r="AQ31" s="115">
        <f t="shared" si="10"/>
        <v>0</v>
      </c>
    </row>
    <row r="32" spans="1:43" ht="15" customHeight="1" x14ac:dyDescent="0.3">
      <c r="A32" s="191"/>
      <c r="B32" s="116" t="s">
        <v>229</v>
      </c>
      <c r="C32" s="97"/>
      <c r="D32" s="97"/>
      <c r="E32" s="117">
        <f>E30-E31</f>
        <v>0</v>
      </c>
      <c r="F32" s="118">
        <f t="shared" ref="F32:AQ32" si="11">F30-F31</f>
        <v>0</v>
      </c>
      <c r="G32" s="118">
        <f t="shared" si="11"/>
        <v>0</v>
      </c>
      <c r="H32" s="118">
        <f t="shared" si="11"/>
        <v>0</v>
      </c>
      <c r="I32" s="118">
        <f t="shared" si="11"/>
        <v>0</v>
      </c>
      <c r="J32" s="118">
        <f t="shared" si="11"/>
        <v>0</v>
      </c>
      <c r="K32" s="118">
        <f t="shared" si="11"/>
        <v>0</v>
      </c>
      <c r="L32" s="118">
        <f t="shared" si="11"/>
        <v>0</v>
      </c>
      <c r="M32" s="118">
        <f t="shared" si="11"/>
        <v>0</v>
      </c>
      <c r="N32" s="118">
        <f t="shared" si="11"/>
        <v>0</v>
      </c>
      <c r="O32" s="118">
        <f t="shared" si="11"/>
        <v>0</v>
      </c>
      <c r="P32" s="118">
        <f t="shared" si="11"/>
        <v>0</v>
      </c>
      <c r="Q32" s="118">
        <f t="shared" si="11"/>
        <v>0</v>
      </c>
      <c r="R32" s="118">
        <f t="shared" si="11"/>
        <v>756970.01902027801</v>
      </c>
      <c r="S32" s="118">
        <f t="shared" si="11"/>
        <v>0</v>
      </c>
      <c r="T32" s="118">
        <f t="shared" si="11"/>
        <v>0</v>
      </c>
      <c r="U32" s="118">
        <f t="shared" si="11"/>
        <v>0</v>
      </c>
      <c r="V32" s="118">
        <f t="shared" si="11"/>
        <v>0</v>
      </c>
      <c r="W32" s="118">
        <f t="shared" si="11"/>
        <v>0</v>
      </c>
      <c r="X32" s="118">
        <f t="shared" si="11"/>
        <v>0</v>
      </c>
      <c r="Y32" s="118">
        <f t="shared" si="11"/>
        <v>0</v>
      </c>
      <c r="Z32" s="118">
        <f t="shared" si="11"/>
        <v>0</v>
      </c>
      <c r="AA32" s="118">
        <f t="shared" si="11"/>
        <v>0</v>
      </c>
      <c r="AB32" s="118">
        <f t="shared" si="11"/>
        <v>0</v>
      </c>
      <c r="AC32" s="118">
        <f t="shared" si="11"/>
        <v>0</v>
      </c>
      <c r="AD32" s="118">
        <f t="shared" si="11"/>
        <v>0</v>
      </c>
      <c r="AE32" s="118">
        <f t="shared" si="11"/>
        <v>0</v>
      </c>
      <c r="AF32" s="118">
        <f t="shared" si="11"/>
        <v>0</v>
      </c>
      <c r="AG32" s="118">
        <f t="shared" si="11"/>
        <v>0</v>
      </c>
      <c r="AH32" s="118">
        <f t="shared" si="11"/>
        <v>0</v>
      </c>
      <c r="AI32" s="118">
        <f t="shared" si="11"/>
        <v>0</v>
      </c>
      <c r="AJ32" s="118">
        <f t="shared" si="11"/>
        <v>0</v>
      </c>
      <c r="AK32" s="118">
        <f t="shared" si="11"/>
        <v>0</v>
      </c>
      <c r="AL32" s="118">
        <f t="shared" si="11"/>
        <v>0</v>
      </c>
      <c r="AM32" s="118">
        <f t="shared" si="11"/>
        <v>0</v>
      </c>
      <c r="AN32" s="118">
        <f t="shared" si="11"/>
        <v>0</v>
      </c>
      <c r="AO32" s="118">
        <f t="shared" si="11"/>
        <v>0</v>
      </c>
      <c r="AP32" s="118">
        <f t="shared" si="11"/>
        <v>0</v>
      </c>
      <c r="AQ32" s="118">
        <f t="shared" si="11"/>
        <v>0</v>
      </c>
    </row>
    <row r="33" spans="1:43" ht="15" customHeight="1" x14ac:dyDescent="0.3">
      <c r="A33" s="191">
        <v>7</v>
      </c>
      <c r="B33" s="87" t="str">
        <f>'Tab 6 - Financial Model'!B20</f>
        <v xml:space="preserve">West View Fire Station </v>
      </c>
      <c r="D33" s="109">
        <f>'Tab 6 - Financial Model'!I20</f>
        <v>25</v>
      </c>
      <c r="E33" s="110">
        <f>IF(AND($D33=E$9,$B33='Tab 6 - Financial Model'!$B20),('Tab 6 - Financial Model'!$D20*(1+'Tab 6 - Financial Model'!$E$25)^'Tab 7 - Bylaw Continuity'!E$9),0)</f>
        <v>0</v>
      </c>
      <c r="F33" s="110">
        <f>IF(AND($D33=F$9,$B33='Tab 6 - Financial Model'!$B20),('Tab 6 - Financial Model'!$D20*(1+'Tab 6 - Financial Model'!$E$25)^'Tab 7 - Bylaw Continuity'!F$9),0)</f>
        <v>0</v>
      </c>
      <c r="G33" s="110">
        <f>IF(AND($D33=G$9,$B33='Tab 6 - Financial Model'!$B20),('Tab 6 - Financial Model'!$D20*(1+'Tab 6 - Financial Model'!$E$25)^'Tab 7 - Bylaw Continuity'!G$9),0)</f>
        <v>0</v>
      </c>
      <c r="H33" s="110">
        <f>IF(AND($D33=H$9,$B33='Tab 6 - Financial Model'!$B20),('Tab 6 - Financial Model'!$D20*(1+'Tab 6 - Financial Model'!$E$25)^'Tab 7 - Bylaw Continuity'!H$9),0)</f>
        <v>0</v>
      </c>
      <c r="I33" s="110">
        <f>IF(AND($D33=I$9,$B33='Tab 6 - Financial Model'!$B20),('Tab 6 - Financial Model'!$D20*(1+'Tab 6 - Financial Model'!$E$25)^'Tab 7 - Bylaw Continuity'!I$9),0)</f>
        <v>0</v>
      </c>
      <c r="J33" s="110">
        <f>IF(AND($D33=J$9,$B33='Tab 6 - Financial Model'!$B20),('Tab 6 - Financial Model'!$D20*(1+'Tab 6 - Financial Model'!$E$25)^'Tab 7 - Bylaw Continuity'!J$9),0)</f>
        <v>0</v>
      </c>
      <c r="K33" s="110">
        <f>IF(AND($D33=K$9,$B33='Tab 6 - Financial Model'!$B20),('Tab 6 - Financial Model'!$D20*(1+'Tab 6 - Financial Model'!$E$25)^'Tab 7 - Bylaw Continuity'!K$9),0)</f>
        <v>0</v>
      </c>
      <c r="L33" s="110">
        <f>IF(AND($D33=L$9,$B33='Tab 6 - Financial Model'!$B20),('Tab 6 - Financial Model'!$D20*(1+'Tab 6 - Financial Model'!$E$25)^'Tab 7 - Bylaw Continuity'!L$9),0)</f>
        <v>0</v>
      </c>
      <c r="M33" s="110">
        <f>IF(AND($D33=M$9,$B33='Tab 6 - Financial Model'!$B20),('Tab 6 - Financial Model'!$D20*(1+'Tab 6 - Financial Model'!$E$25)^'Tab 7 - Bylaw Continuity'!M$9),0)</f>
        <v>0</v>
      </c>
      <c r="N33" s="110">
        <f>IF(AND($D33=N$9,$B33='Tab 6 - Financial Model'!$B20),('Tab 6 - Financial Model'!$D20*(1+'Tab 6 - Financial Model'!$E$25)^'Tab 7 - Bylaw Continuity'!N$9),0)</f>
        <v>0</v>
      </c>
      <c r="O33" s="110">
        <f>IF(AND($D33=O$9,$B33='Tab 6 - Financial Model'!$B20),('Tab 6 - Financial Model'!$D20*(1+'Tab 6 - Financial Model'!$E$25)^'Tab 7 - Bylaw Continuity'!O$9),0)</f>
        <v>0</v>
      </c>
      <c r="P33" s="110">
        <f>IF(AND($D33=P$9,$B33='Tab 6 - Financial Model'!$B20),('Tab 6 - Financial Model'!$D20*(1+'Tab 6 - Financial Model'!$E$25)^'Tab 7 - Bylaw Continuity'!P$9),0)</f>
        <v>0</v>
      </c>
      <c r="Q33" s="110">
        <f>IF(AND($D33=Q$9,$B33='Tab 6 - Financial Model'!$B20),('Tab 6 - Financial Model'!$D20*(1+'Tab 6 - Financial Model'!$E$25)^'Tab 7 - Bylaw Continuity'!Q$9),0)</f>
        <v>0</v>
      </c>
      <c r="R33" s="110">
        <f>IF(AND($D33=R$9,$B33='Tab 6 - Financial Model'!$B20),('Tab 6 - Financial Model'!$D20*(1+'Tab 6 - Financial Model'!$E$25)^'Tab 7 - Bylaw Continuity'!R$9),0)</f>
        <v>0</v>
      </c>
      <c r="S33" s="110">
        <f>IF(AND($D33=S$9,$B33='Tab 6 - Financial Model'!$B20),('Tab 6 - Financial Model'!$D20*(1+'Tab 6 - Financial Model'!$E$25)^'Tab 7 - Bylaw Continuity'!S$9),0)</f>
        <v>0</v>
      </c>
      <c r="T33" s="110">
        <f>IF(AND($D33=T$9,$B33='Tab 6 - Financial Model'!$B20),('Tab 6 - Financial Model'!$D20*(1+'Tab 6 - Financial Model'!$E$25)^'Tab 7 - Bylaw Continuity'!T$9),0)</f>
        <v>0</v>
      </c>
      <c r="U33" s="110">
        <f>IF(AND($D33=U$9,$B33='Tab 6 - Financial Model'!$B20),('Tab 6 - Financial Model'!$D20*(1+'Tab 6 - Financial Model'!$E$25)^'Tab 7 - Bylaw Continuity'!U$9),0)</f>
        <v>0</v>
      </c>
      <c r="V33" s="110">
        <f>IF(AND($D33=V$9,$B33='Tab 6 - Financial Model'!$B20),('Tab 6 - Financial Model'!$D20*(1+'Tab 6 - Financial Model'!$E$25)^'Tab 7 - Bylaw Continuity'!V$9),0)</f>
        <v>0</v>
      </c>
      <c r="W33" s="110">
        <f>IF(AND($D33=W$9,$B33='Tab 6 - Financial Model'!$B20),('Tab 6 - Financial Model'!$D20*(1+'Tab 6 - Financial Model'!$E$25)^'Tab 7 - Bylaw Continuity'!W$9),0)</f>
        <v>0</v>
      </c>
      <c r="X33" s="110">
        <f>IF(AND($D33=X$9,$B33='Tab 6 - Financial Model'!$B20),('Tab 6 - Financial Model'!$D20*(1+'Tab 6 - Financial Model'!$E$25)^'Tab 7 - Bylaw Continuity'!X$9),0)</f>
        <v>0</v>
      </c>
      <c r="Y33" s="110">
        <f>IF(AND($D33=Y$9,$B33='Tab 6 - Financial Model'!$B20),('Tab 6 - Financial Model'!$D20*(1+'Tab 6 - Financial Model'!$E$25)^'Tab 7 - Bylaw Continuity'!Y$9),0)</f>
        <v>0</v>
      </c>
      <c r="Z33" s="110">
        <f>IF(AND($D33=Z$9,$B33='Tab 6 - Financial Model'!$B20),('Tab 6 - Financial Model'!$D20*(1+'Tab 6 - Financial Model'!$E$25)^'Tab 7 - Bylaw Continuity'!Z$9),0)</f>
        <v>0</v>
      </c>
      <c r="AA33" s="110">
        <f>IF(AND($D33=AA$9,$B33='Tab 6 - Financial Model'!$B20),('Tab 6 - Financial Model'!$D20*(1+'Tab 6 - Financial Model'!$E$25)^'Tab 7 - Bylaw Continuity'!AA$9),0)</f>
        <v>0</v>
      </c>
      <c r="AB33" s="110">
        <f>IF(AND($D33=AB$9,$B33='Tab 6 - Financial Model'!$B20),('Tab 6 - Financial Model'!$D20*(1+'Tab 6 - Financial Model'!$E$25)^'Tab 7 - Bylaw Continuity'!AB$9),0)</f>
        <v>0</v>
      </c>
      <c r="AC33" s="110">
        <f>IF(AND($D33=AC$9,$B33='Tab 6 - Financial Model'!$B20),('Tab 6 - Financial Model'!$D20*(1+'Tab 6 - Financial Model'!$E$25)^'Tab 7 - Bylaw Continuity'!AC$9),0)</f>
        <v>0</v>
      </c>
      <c r="AD33" s="110">
        <f>IF(AND($D33=AD$9,$B33='Tab 6 - Financial Model'!$B20),('Tab 6 - Financial Model'!$D20*(1+'Tab 6 - Financial Model'!$E$25)^'Tab 7 - Bylaw Continuity'!AD$9),0)</f>
        <v>0</v>
      </c>
      <c r="AE33" s="110">
        <f>IF(AND($D33=AE$9,$B33='Tab 6 - Financial Model'!$B20),('Tab 6 - Financial Model'!$D20*(1+'Tab 6 - Financial Model'!$E$25)^'Tab 7 - Bylaw Continuity'!AE$9),0)</f>
        <v>0</v>
      </c>
      <c r="AF33" s="110">
        <f>IF(AND($D33=AF$9,$B33='Tab 6 - Financial Model'!$B20),('Tab 6 - Financial Model'!$D20*(1+'Tab 6 - Financial Model'!$E$25)^'Tab 7 - Bylaw Continuity'!AF$9),0)</f>
        <v>0</v>
      </c>
      <c r="AG33" s="110">
        <f>IF(AND($D33=AG$9,$B33='Tab 6 - Financial Model'!$B20),('Tab 6 - Financial Model'!$D20*(1+'Tab 6 - Financial Model'!$E$25)^'Tab 7 - Bylaw Continuity'!AG$9),0)</f>
        <v>42765743.265581518</v>
      </c>
      <c r="AH33" s="110">
        <f>IF(AND($D33=AH$9,$B33='Tab 6 - Financial Model'!$B20),('Tab 6 - Financial Model'!$D20*(1+'Tab 6 - Financial Model'!$E$25)^'Tab 7 - Bylaw Continuity'!AH$9),0)</f>
        <v>0</v>
      </c>
      <c r="AI33" s="110">
        <f>IF(AND($D33=AI$9,$B33='Tab 6 - Financial Model'!$B20),('Tab 6 - Financial Model'!$D20*(1+'Tab 6 - Financial Model'!$E$25)^'Tab 7 - Bylaw Continuity'!AI$9),0)</f>
        <v>0</v>
      </c>
      <c r="AJ33" s="110">
        <f>IF(AND($D33=AJ$9,$B33='Tab 6 - Financial Model'!$B20),('Tab 6 - Financial Model'!$D20*(1+'Tab 6 - Financial Model'!$E$25)^'Tab 7 - Bylaw Continuity'!AJ$9),0)</f>
        <v>0</v>
      </c>
      <c r="AK33" s="110">
        <f>IF(AND($D33=AK$9,$B33='Tab 6 - Financial Model'!$B20),('Tab 6 - Financial Model'!$D20*(1+'Tab 6 - Financial Model'!$E$25)^'Tab 7 - Bylaw Continuity'!AK$9),0)</f>
        <v>0</v>
      </c>
      <c r="AL33" s="110">
        <f>IF(AND($D33=AL$9,$B33='Tab 6 - Financial Model'!$B20),('Tab 6 - Financial Model'!$D20*(1+'Tab 6 - Financial Model'!$E$25)^'Tab 7 - Bylaw Continuity'!AL$9),0)</f>
        <v>0</v>
      </c>
      <c r="AM33" s="110">
        <f>IF(AND($D33=AM$9,$B33='Tab 6 - Financial Model'!$B20),('Tab 6 - Financial Model'!$D20*(1+'Tab 6 - Financial Model'!$E$25)^'Tab 7 - Bylaw Continuity'!AM$9),0)</f>
        <v>0</v>
      </c>
      <c r="AN33" s="110">
        <f>IF(AND($D33=AN$9,$B33='Tab 6 - Financial Model'!$B20),('Tab 6 - Financial Model'!$D20*(1+'Tab 6 - Financial Model'!$E$25)^'Tab 7 - Bylaw Continuity'!AN$9),0)</f>
        <v>0</v>
      </c>
      <c r="AO33" s="110">
        <f>IF(AND($D33=AO$9,$B33='Tab 6 - Financial Model'!$B20),('Tab 6 - Financial Model'!$D20*(1+'Tab 6 - Financial Model'!$E$25)^'Tab 7 - Bylaw Continuity'!AO$9),0)</f>
        <v>0</v>
      </c>
      <c r="AP33" s="110">
        <f>IF(AND($D33=AP$9,$B33='Tab 6 - Financial Model'!$B20),('Tab 6 - Financial Model'!$D20*(1+'Tab 6 - Financial Model'!$E$25)^'Tab 7 - Bylaw Continuity'!AP$9),0)</f>
        <v>0</v>
      </c>
      <c r="AQ33" s="110">
        <f>IF(AND($D33=AQ$9,$B33='Tab 6 - Financial Model'!$B20),('Tab 6 - Financial Model'!$D20*(1+'Tab 6 - Financial Model'!$E$25)^'Tab 7 - Bylaw Continuity'!AQ$9),0)</f>
        <v>0</v>
      </c>
    </row>
    <row r="34" spans="1:43" ht="15" customHeight="1" x14ac:dyDescent="0.3">
      <c r="A34" s="191"/>
      <c r="B34" s="111" t="s">
        <v>228</v>
      </c>
      <c r="C34" s="112"/>
      <c r="D34" s="198">
        <f>SUMIF('Tab 6 - Financial Model'!$B$14:$B$21,'Tab 7 - Bylaw Continuity'!B33,'Tab 6 - Financial Model'!$F$14:$F$21)</f>
        <v>0.99</v>
      </c>
      <c r="E34" s="114">
        <f>E33*$D34</f>
        <v>0</v>
      </c>
      <c r="F34" s="115">
        <f t="shared" ref="F34:AQ34" si="12">F33*$D34</f>
        <v>0</v>
      </c>
      <c r="G34" s="115">
        <f t="shared" si="12"/>
        <v>0</v>
      </c>
      <c r="H34" s="115">
        <f t="shared" si="12"/>
        <v>0</v>
      </c>
      <c r="I34" s="115">
        <f t="shared" si="12"/>
        <v>0</v>
      </c>
      <c r="J34" s="115">
        <f t="shared" si="12"/>
        <v>0</v>
      </c>
      <c r="K34" s="115">
        <f t="shared" si="12"/>
        <v>0</v>
      </c>
      <c r="L34" s="115">
        <f t="shared" si="12"/>
        <v>0</v>
      </c>
      <c r="M34" s="115">
        <f t="shared" si="12"/>
        <v>0</v>
      </c>
      <c r="N34" s="115">
        <f t="shared" si="12"/>
        <v>0</v>
      </c>
      <c r="O34" s="115">
        <f t="shared" si="12"/>
        <v>0</v>
      </c>
      <c r="P34" s="115">
        <f t="shared" si="12"/>
        <v>0</v>
      </c>
      <c r="Q34" s="115">
        <f t="shared" si="12"/>
        <v>0</v>
      </c>
      <c r="R34" s="115">
        <f t="shared" si="12"/>
        <v>0</v>
      </c>
      <c r="S34" s="115">
        <f t="shared" si="12"/>
        <v>0</v>
      </c>
      <c r="T34" s="115">
        <f t="shared" si="12"/>
        <v>0</v>
      </c>
      <c r="U34" s="115">
        <f t="shared" si="12"/>
        <v>0</v>
      </c>
      <c r="V34" s="115">
        <f t="shared" si="12"/>
        <v>0</v>
      </c>
      <c r="W34" s="115">
        <f t="shared" si="12"/>
        <v>0</v>
      </c>
      <c r="X34" s="115">
        <f t="shared" si="12"/>
        <v>0</v>
      </c>
      <c r="Y34" s="115">
        <f t="shared" si="12"/>
        <v>0</v>
      </c>
      <c r="Z34" s="115">
        <f t="shared" si="12"/>
        <v>0</v>
      </c>
      <c r="AA34" s="115">
        <f t="shared" si="12"/>
        <v>0</v>
      </c>
      <c r="AB34" s="115">
        <f t="shared" si="12"/>
        <v>0</v>
      </c>
      <c r="AC34" s="115">
        <f t="shared" si="12"/>
        <v>0</v>
      </c>
      <c r="AD34" s="115">
        <f t="shared" si="12"/>
        <v>0</v>
      </c>
      <c r="AE34" s="115">
        <f t="shared" si="12"/>
        <v>0</v>
      </c>
      <c r="AF34" s="115">
        <f t="shared" si="12"/>
        <v>0</v>
      </c>
      <c r="AG34" s="115">
        <f t="shared" si="12"/>
        <v>42338085.8329257</v>
      </c>
      <c r="AH34" s="115">
        <f t="shared" si="12"/>
        <v>0</v>
      </c>
      <c r="AI34" s="115">
        <f t="shared" si="12"/>
        <v>0</v>
      </c>
      <c r="AJ34" s="115">
        <f t="shared" si="12"/>
        <v>0</v>
      </c>
      <c r="AK34" s="115">
        <f t="shared" si="12"/>
        <v>0</v>
      </c>
      <c r="AL34" s="115">
        <f t="shared" si="12"/>
        <v>0</v>
      </c>
      <c r="AM34" s="115">
        <f t="shared" si="12"/>
        <v>0</v>
      </c>
      <c r="AN34" s="115">
        <f t="shared" si="12"/>
        <v>0</v>
      </c>
      <c r="AO34" s="115">
        <f t="shared" si="12"/>
        <v>0</v>
      </c>
      <c r="AP34" s="115">
        <f t="shared" si="12"/>
        <v>0</v>
      </c>
      <c r="AQ34" s="115">
        <f t="shared" si="12"/>
        <v>0</v>
      </c>
    </row>
    <row r="35" spans="1:43" ht="15" customHeight="1" x14ac:dyDescent="0.3">
      <c r="A35" s="191"/>
      <c r="B35" s="116" t="s">
        <v>229</v>
      </c>
      <c r="C35" s="97"/>
      <c r="D35" s="97"/>
      <c r="E35" s="117">
        <f>E33-E34</f>
        <v>0</v>
      </c>
      <c r="F35" s="118">
        <f t="shared" ref="F35:AQ35" si="13">F33-F34</f>
        <v>0</v>
      </c>
      <c r="G35" s="118">
        <f t="shared" si="13"/>
        <v>0</v>
      </c>
      <c r="H35" s="118">
        <f t="shared" si="13"/>
        <v>0</v>
      </c>
      <c r="I35" s="118">
        <f t="shared" si="13"/>
        <v>0</v>
      </c>
      <c r="J35" s="118">
        <f t="shared" si="13"/>
        <v>0</v>
      </c>
      <c r="K35" s="118">
        <f t="shared" si="13"/>
        <v>0</v>
      </c>
      <c r="L35" s="118">
        <f t="shared" si="13"/>
        <v>0</v>
      </c>
      <c r="M35" s="118">
        <f t="shared" si="13"/>
        <v>0</v>
      </c>
      <c r="N35" s="118">
        <f t="shared" si="13"/>
        <v>0</v>
      </c>
      <c r="O35" s="118">
        <f t="shared" si="13"/>
        <v>0</v>
      </c>
      <c r="P35" s="118">
        <f t="shared" si="13"/>
        <v>0</v>
      </c>
      <c r="Q35" s="118">
        <f t="shared" si="13"/>
        <v>0</v>
      </c>
      <c r="R35" s="118">
        <f t="shared" si="13"/>
        <v>0</v>
      </c>
      <c r="S35" s="118">
        <f t="shared" si="13"/>
        <v>0</v>
      </c>
      <c r="T35" s="118">
        <f t="shared" si="13"/>
        <v>0</v>
      </c>
      <c r="U35" s="118">
        <f t="shared" si="13"/>
        <v>0</v>
      </c>
      <c r="V35" s="118">
        <f t="shared" si="13"/>
        <v>0</v>
      </c>
      <c r="W35" s="118">
        <f t="shared" si="13"/>
        <v>0</v>
      </c>
      <c r="X35" s="118">
        <f t="shared" si="13"/>
        <v>0</v>
      </c>
      <c r="Y35" s="118">
        <f t="shared" si="13"/>
        <v>0</v>
      </c>
      <c r="Z35" s="118">
        <f t="shared" si="13"/>
        <v>0</v>
      </c>
      <c r="AA35" s="118">
        <f t="shared" si="13"/>
        <v>0</v>
      </c>
      <c r="AB35" s="118">
        <f t="shared" si="13"/>
        <v>0</v>
      </c>
      <c r="AC35" s="118">
        <f t="shared" si="13"/>
        <v>0</v>
      </c>
      <c r="AD35" s="118">
        <f t="shared" si="13"/>
        <v>0</v>
      </c>
      <c r="AE35" s="118">
        <f t="shared" si="13"/>
        <v>0</v>
      </c>
      <c r="AF35" s="118">
        <f t="shared" si="13"/>
        <v>0</v>
      </c>
      <c r="AG35" s="118">
        <f t="shared" si="13"/>
        <v>427657.43265581876</v>
      </c>
      <c r="AH35" s="118">
        <f t="shared" si="13"/>
        <v>0</v>
      </c>
      <c r="AI35" s="118">
        <f t="shared" si="13"/>
        <v>0</v>
      </c>
      <c r="AJ35" s="118">
        <f t="shared" si="13"/>
        <v>0</v>
      </c>
      <c r="AK35" s="118">
        <f t="shared" si="13"/>
        <v>0</v>
      </c>
      <c r="AL35" s="118">
        <f t="shared" si="13"/>
        <v>0</v>
      </c>
      <c r="AM35" s="118">
        <f t="shared" si="13"/>
        <v>0</v>
      </c>
      <c r="AN35" s="118">
        <f t="shared" si="13"/>
        <v>0</v>
      </c>
      <c r="AO35" s="118">
        <f t="shared" si="13"/>
        <v>0</v>
      </c>
      <c r="AP35" s="118">
        <f t="shared" si="13"/>
        <v>0</v>
      </c>
      <c r="AQ35" s="118">
        <f t="shared" si="13"/>
        <v>0</v>
      </c>
    </row>
    <row r="36" spans="1:43" ht="15" customHeight="1" x14ac:dyDescent="0.3">
      <c r="A36" s="191">
        <v>8</v>
      </c>
      <c r="B36" s="87" t="str">
        <f>'Tab 6 - Financial Model'!B21</f>
        <v>Shepard Industrial Station</v>
      </c>
      <c r="D36" s="109">
        <f>'Tab 6 - Financial Model'!I21</f>
        <v>30</v>
      </c>
      <c r="E36" s="110">
        <f>IF(AND($D36=E$9,$B36='Tab 6 - Financial Model'!$B21),('Tab 6 - Financial Model'!$D21*(1+'Tab 6 - Financial Model'!$E$25)^'Tab 7 - Bylaw Continuity'!E$9),0)</f>
        <v>0</v>
      </c>
      <c r="F36" s="110">
        <f>IF(AND($D36=F$9,$B36='Tab 6 - Financial Model'!$B21),('Tab 6 - Financial Model'!$D21*(1+'Tab 6 - Financial Model'!$E$25)^'Tab 7 - Bylaw Continuity'!F$9),0)</f>
        <v>0</v>
      </c>
      <c r="G36" s="110">
        <f>IF(AND($D36=G$9,$B36='Tab 6 - Financial Model'!$B21),('Tab 6 - Financial Model'!$D21*(1+'Tab 6 - Financial Model'!$E$25)^'Tab 7 - Bylaw Continuity'!G$9),0)</f>
        <v>0</v>
      </c>
      <c r="H36" s="110">
        <f>IF(AND($D36=H$9,$B36='Tab 6 - Financial Model'!$B21),('Tab 6 - Financial Model'!$D21*(1+'Tab 6 - Financial Model'!$E$25)^'Tab 7 - Bylaw Continuity'!H$9),0)</f>
        <v>0</v>
      </c>
      <c r="I36" s="110">
        <f>IF(AND($D36=I$9,$B36='Tab 6 - Financial Model'!$B21),('Tab 6 - Financial Model'!$D21*(1+'Tab 6 - Financial Model'!$E$25)^'Tab 7 - Bylaw Continuity'!I$9),0)</f>
        <v>0</v>
      </c>
      <c r="J36" s="110">
        <f>IF(AND($D36=J$9,$B36='Tab 6 - Financial Model'!$B21),('Tab 6 - Financial Model'!$D21*(1+'Tab 6 - Financial Model'!$E$25)^'Tab 7 - Bylaw Continuity'!J$9),0)</f>
        <v>0</v>
      </c>
      <c r="K36" s="110">
        <f>IF(AND($D36=K$9,$B36='Tab 6 - Financial Model'!$B21),('Tab 6 - Financial Model'!$D21*(1+'Tab 6 - Financial Model'!$E$25)^'Tab 7 - Bylaw Continuity'!K$9),0)</f>
        <v>0</v>
      </c>
      <c r="L36" s="110">
        <f>IF(AND($D36=L$9,$B36='Tab 6 - Financial Model'!$B21),('Tab 6 - Financial Model'!$D21*(1+'Tab 6 - Financial Model'!$E$25)^'Tab 7 - Bylaw Continuity'!L$9),0)</f>
        <v>0</v>
      </c>
      <c r="M36" s="110">
        <f>IF(AND($D36=M$9,$B36='Tab 6 - Financial Model'!$B21),('Tab 6 - Financial Model'!$D21*(1+'Tab 6 - Financial Model'!$E$25)^'Tab 7 - Bylaw Continuity'!M$9),0)</f>
        <v>0</v>
      </c>
      <c r="N36" s="110">
        <f>IF(AND($D36=N$9,$B36='Tab 6 - Financial Model'!$B21),('Tab 6 - Financial Model'!$D21*(1+'Tab 6 - Financial Model'!$E$25)^'Tab 7 - Bylaw Continuity'!N$9),0)</f>
        <v>0</v>
      </c>
      <c r="O36" s="110">
        <f>IF(AND($D36=O$9,$B36='Tab 6 - Financial Model'!$B21),('Tab 6 - Financial Model'!$D21*(1+'Tab 6 - Financial Model'!$E$25)^'Tab 7 - Bylaw Continuity'!O$9),0)</f>
        <v>0</v>
      </c>
      <c r="P36" s="110">
        <f>IF(AND($D36=P$9,$B36='Tab 6 - Financial Model'!$B21),('Tab 6 - Financial Model'!$D21*(1+'Tab 6 - Financial Model'!$E$25)^'Tab 7 - Bylaw Continuity'!P$9),0)</f>
        <v>0</v>
      </c>
      <c r="Q36" s="110">
        <f>IF(AND($D36=Q$9,$B36='Tab 6 - Financial Model'!$B21),('Tab 6 - Financial Model'!$D21*(1+'Tab 6 - Financial Model'!$E$25)^'Tab 7 - Bylaw Continuity'!Q$9),0)</f>
        <v>0</v>
      </c>
      <c r="R36" s="110">
        <f>IF(AND($D36=R$9,$B36='Tab 6 - Financial Model'!$B21),('Tab 6 - Financial Model'!$D21*(1+'Tab 6 - Financial Model'!$E$25)^'Tab 7 - Bylaw Continuity'!R$9),0)</f>
        <v>0</v>
      </c>
      <c r="S36" s="110">
        <f>IF(AND($D36=S$9,$B36='Tab 6 - Financial Model'!$B21),('Tab 6 - Financial Model'!$D21*(1+'Tab 6 - Financial Model'!$E$25)^'Tab 7 - Bylaw Continuity'!S$9),0)</f>
        <v>0</v>
      </c>
      <c r="T36" s="110">
        <f>IF(AND($D36=T$9,$B36='Tab 6 - Financial Model'!$B21),('Tab 6 - Financial Model'!$D21*(1+'Tab 6 - Financial Model'!$E$25)^'Tab 7 - Bylaw Continuity'!T$9),0)</f>
        <v>0</v>
      </c>
      <c r="U36" s="110">
        <f>IF(AND($D36=U$9,$B36='Tab 6 - Financial Model'!$B21),('Tab 6 - Financial Model'!$D21*(1+'Tab 6 - Financial Model'!$E$25)^'Tab 7 - Bylaw Continuity'!U$9),0)</f>
        <v>0</v>
      </c>
      <c r="V36" s="110">
        <f>IF(AND($D36=V$9,$B36='Tab 6 - Financial Model'!$B21),('Tab 6 - Financial Model'!$D21*(1+'Tab 6 - Financial Model'!$E$25)^'Tab 7 - Bylaw Continuity'!V$9),0)</f>
        <v>0</v>
      </c>
      <c r="W36" s="110">
        <f>IF(AND($D36=W$9,$B36='Tab 6 - Financial Model'!$B21),('Tab 6 - Financial Model'!$D21*(1+'Tab 6 - Financial Model'!$E$25)^'Tab 7 - Bylaw Continuity'!W$9),0)</f>
        <v>0</v>
      </c>
      <c r="X36" s="110">
        <f>IF(AND($D36=X$9,$B36='Tab 6 - Financial Model'!$B21),('Tab 6 - Financial Model'!$D21*(1+'Tab 6 - Financial Model'!$E$25)^'Tab 7 - Bylaw Continuity'!X$9),0)</f>
        <v>0</v>
      </c>
      <c r="Y36" s="110">
        <f>IF(AND($D36=Y$9,$B36='Tab 6 - Financial Model'!$B21),('Tab 6 - Financial Model'!$D21*(1+'Tab 6 - Financial Model'!$E$25)^'Tab 7 - Bylaw Continuity'!Y$9),0)</f>
        <v>0</v>
      </c>
      <c r="Z36" s="110">
        <f>IF(AND($D36=Z$9,$B36='Tab 6 - Financial Model'!$B21),('Tab 6 - Financial Model'!$D21*(1+'Tab 6 - Financial Model'!$E$25)^'Tab 7 - Bylaw Continuity'!Z$9),0)</f>
        <v>0</v>
      </c>
      <c r="AA36" s="110">
        <f>IF(AND($D36=AA$9,$B36='Tab 6 - Financial Model'!$B21),('Tab 6 - Financial Model'!$D21*(1+'Tab 6 - Financial Model'!$E$25)^'Tab 7 - Bylaw Continuity'!AA$9),0)</f>
        <v>0</v>
      </c>
      <c r="AB36" s="110">
        <f>IF(AND($D36=AB$9,$B36='Tab 6 - Financial Model'!$B21),('Tab 6 - Financial Model'!$D21*(1+'Tab 6 - Financial Model'!$E$25)^'Tab 7 - Bylaw Continuity'!AB$9),0)</f>
        <v>0</v>
      </c>
      <c r="AC36" s="110">
        <f>IF(AND($D36=AC$9,$B36='Tab 6 - Financial Model'!$B21),('Tab 6 - Financial Model'!$D21*(1+'Tab 6 - Financial Model'!$E$25)^'Tab 7 - Bylaw Continuity'!AC$9),0)</f>
        <v>0</v>
      </c>
      <c r="AD36" s="110">
        <f>IF(AND($D36=AD$9,$B36='Tab 6 - Financial Model'!$B21),('Tab 6 - Financial Model'!$D21*(1+'Tab 6 - Financial Model'!$E$25)^'Tab 7 - Bylaw Continuity'!AD$9),0)</f>
        <v>0</v>
      </c>
      <c r="AE36" s="110">
        <f>IF(AND($D36=AE$9,$B36='Tab 6 - Financial Model'!$B21),('Tab 6 - Financial Model'!$D21*(1+'Tab 6 - Financial Model'!$E$25)^'Tab 7 - Bylaw Continuity'!AE$9),0)</f>
        <v>0</v>
      </c>
      <c r="AF36" s="110">
        <f>IF(AND($D36=AF$9,$B36='Tab 6 - Financial Model'!$B21),('Tab 6 - Financial Model'!$D21*(1+'Tab 6 - Financial Model'!$E$25)^'Tab 7 - Bylaw Continuity'!AF$9),0)</f>
        <v>0</v>
      </c>
      <c r="AG36" s="110">
        <f>IF(AND($D36=AG$9,$B36='Tab 6 - Financial Model'!$B21),('Tab 6 - Financial Model'!$D21*(1+'Tab 6 - Financial Model'!$E$25)^'Tab 7 - Bylaw Continuity'!AG$9),0)</f>
        <v>0</v>
      </c>
      <c r="AH36" s="110">
        <f>IF(AND($D36=AH$9,$B36='Tab 6 - Financial Model'!$B21),('Tab 6 - Financial Model'!$D21*(1+'Tab 6 - Financial Model'!$E$25)^'Tab 7 - Bylaw Continuity'!AH$9),0)</f>
        <v>0</v>
      </c>
      <c r="AI36" s="110">
        <f>IF(AND($D36=AI$9,$B36='Tab 6 - Financial Model'!$B21),('Tab 6 - Financial Model'!$D21*(1+'Tab 6 - Financial Model'!$E$25)^'Tab 7 - Bylaw Continuity'!AI$9),0)</f>
        <v>0</v>
      </c>
      <c r="AJ36" s="110">
        <f>IF(AND($D36=AJ$9,$B36='Tab 6 - Financial Model'!$B21),('Tab 6 - Financial Model'!$D21*(1+'Tab 6 - Financial Model'!$E$25)^'Tab 7 - Bylaw Continuity'!AJ$9),0)</f>
        <v>0</v>
      </c>
      <c r="AK36" s="110">
        <f>IF(AND($D36=AK$9,$B36='Tab 6 - Financial Model'!$B21),('Tab 6 - Financial Model'!$D21*(1+'Tab 6 - Financial Model'!$E$25)^'Tab 7 - Bylaw Continuity'!AK$9),0)</f>
        <v>0</v>
      </c>
      <c r="AL36" s="110">
        <f>IF(AND($D36=AL$9,$B36='Tab 6 - Financial Model'!$B21),('Tab 6 - Financial Model'!$D21*(1+'Tab 6 - Financial Model'!$E$25)^'Tab 7 - Bylaw Continuity'!AL$9),0)</f>
        <v>50988890.015053876</v>
      </c>
      <c r="AM36" s="110">
        <f>IF(AND($D36=AM$9,$B36='Tab 6 - Financial Model'!$B21),('Tab 6 - Financial Model'!$D21*(1+'Tab 6 - Financial Model'!$E$25)^'Tab 7 - Bylaw Continuity'!AM$9),0)</f>
        <v>0</v>
      </c>
      <c r="AN36" s="110">
        <f>IF(AND($D36=AN$9,$B36='Tab 6 - Financial Model'!$B21),('Tab 6 - Financial Model'!$D21*(1+'Tab 6 - Financial Model'!$E$25)^'Tab 7 - Bylaw Continuity'!AN$9),0)</f>
        <v>0</v>
      </c>
      <c r="AO36" s="110">
        <f>IF(AND($D36=AO$9,$B36='Tab 6 - Financial Model'!$B21),('Tab 6 - Financial Model'!$D21*(1+'Tab 6 - Financial Model'!$E$25)^'Tab 7 - Bylaw Continuity'!AO$9),0)</f>
        <v>0</v>
      </c>
      <c r="AP36" s="110">
        <f>IF(AND($D36=AP$9,$B36='Tab 6 - Financial Model'!$B21),('Tab 6 - Financial Model'!$D21*(1+'Tab 6 - Financial Model'!$E$25)^'Tab 7 - Bylaw Continuity'!AP$9),0)</f>
        <v>0</v>
      </c>
      <c r="AQ36" s="110">
        <f>IF(AND($D36=AQ$9,$B36='Tab 6 - Financial Model'!$B21),('Tab 6 - Financial Model'!$D21*(1+'Tab 6 - Financial Model'!$E$25)^'Tab 7 - Bylaw Continuity'!AQ$9),0)</f>
        <v>0</v>
      </c>
    </row>
    <row r="37" spans="1:43" ht="15" customHeight="1" x14ac:dyDescent="0.3">
      <c r="A37" s="191"/>
      <c r="B37" s="111" t="s">
        <v>228</v>
      </c>
      <c r="C37" s="112"/>
      <c r="D37" s="198">
        <f>SUMIF('Tab 6 - Financial Model'!$B$14:$B$21,'Tab 7 - Bylaw Continuity'!B36,'Tab 6 - Financial Model'!$F$14:$F$21)</f>
        <v>0.79</v>
      </c>
      <c r="E37" s="114">
        <f>E36*$D37</f>
        <v>0</v>
      </c>
      <c r="F37" s="115">
        <f t="shared" ref="F37:AQ37" si="14">F36*$D37</f>
        <v>0</v>
      </c>
      <c r="G37" s="115">
        <f t="shared" si="14"/>
        <v>0</v>
      </c>
      <c r="H37" s="115">
        <f t="shared" si="14"/>
        <v>0</v>
      </c>
      <c r="I37" s="115">
        <f t="shared" si="14"/>
        <v>0</v>
      </c>
      <c r="J37" s="115">
        <f t="shared" si="14"/>
        <v>0</v>
      </c>
      <c r="K37" s="115">
        <f t="shared" si="14"/>
        <v>0</v>
      </c>
      <c r="L37" s="115">
        <f t="shared" si="14"/>
        <v>0</v>
      </c>
      <c r="M37" s="115">
        <f t="shared" si="14"/>
        <v>0</v>
      </c>
      <c r="N37" s="115">
        <f t="shared" si="14"/>
        <v>0</v>
      </c>
      <c r="O37" s="115">
        <f t="shared" si="14"/>
        <v>0</v>
      </c>
      <c r="P37" s="115">
        <f t="shared" si="14"/>
        <v>0</v>
      </c>
      <c r="Q37" s="115">
        <f t="shared" si="14"/>
        <v>0</v>
      </c>
      <c r="R37" s="115">
        <f t="shared" si="14"/>
        <v>0</v>
      </c>
      <c r="S37" s="115">
        <f t="shared" si="14"/>
        <v>0</v>
      </c>
      <c r="T37" s="115">
        <f t="shared" si="14"/>
        <v>0</v>
      </c>
      <c r="U37" s="115">
        <f t="shared" si="14"/>
        <v>0</v>
      </c>
      <c r="V37" s="115">
        <f t="shared" si="14"/>
        <v>0</v>
      </c>
      <c r="W37" s="115">
        <f t="shared" si="14"/>
        <v>0</v>
      </c>
      <c r="X37" s="115">
        <f t="shared" si="14"/>
        <v>0</v>
      </c>
      <c r="Y37" s="115">
        <f t="shared" si="14"/>
        <v>0</v>
      </c>
      <c r="Z37" s="115">
        <f t="shared" si="14"/>
        <v>0</v>
      </c>
      <c r="AA37" s="115">
        <f t="shared" si="14"/>
        <v>0</v>
      </c>
      <c r="AB37" s="115">
        <f t="shared" si="14"/>
        <v>0</v>
      </c>
      <c r="AC37" s="115">
        <f t="shared" si="14"/>
        <v>0</v>
      </c>
      <c r="AD37" s="115">
        <f t="shared" si="14"/>
        <v>0</v>
      </c>
      <c r="AE37" s="115">
        <f t="shared" si="14"/>
        <v>0</v>
      </c>
      <c r="AF37" s="115">
        <f t="shared" si="14"/>
        <v>0</v>
      </c>
      <c r="AG37" s="115">
        <f t="shared" si="14"/>
        <v>0</v>
      </c>
      <c r="AH37" s="115">
        <f t="shared" si="14"/>
        <v>0</v>
      </c>
      <c r="AI37" s="115">
        <f t="shared" si="14"/>
        <v>0</v>
      </c>
      <c r="AJ37" s="115">
        <f t="shared" si="14"/>
        <v>0</v>
      </c>
      <c r="AK37" s="115">
        <f t="shared" si="14"/>
        <v>0</v>
      </c>
      <c r="AL37" s="115">
        <f t="shared" si="14"/>
        <v>40281223.111892566</v>
      </c>
      <c r="AM37" s="115">
        <f t="shared" si="14"/>
        <v>0</v>
      </c>
      <c r="AN37" s="115">
        <f t="shared" si="14"/>
        <v>0</v>
      </c>
      <c r="AO37" s="115">
        <f t="shared" si="14"/>
        <v>0</v>
      </c>
      <c r="AP37" s="115">
        <f t="shared" si="14"/>
        <v>0</v>
      </c>
      <c r="AQ37" s="115">
        <f t="shared" si="14"/>
        <v>0</v>
      </c>
    </row>
    <row r="38" spans="1:43" ht="15" customHeight="1" x14ac:dyDescent="0.3">
      <c r="A38" s="191"/>
      <c r="B38" s="116" t="s">
        <v>229</v>
      </c>
      <c r="C38" s="97"/>
      <c r="D38" s="97"/>
      <c r="E38" s="117">
        <f>E36-E37</f>
        <v>0</v>
      </c>
      <c r="F38" s="118">
        <f t="shared" ref="F38:AQ38" si="15">F36-F37</f>
        <v>0</v>
      </c>
      <c r="G38" s="118">
        <f t="shared" si="15"/>
        <v>0</v>
      </c>
      <c r="H38" s="118">
        <f t="shared" si="15"/>
        <v>0</v>
      </c>
      <c r="I38" s="118">
        <f t="shared" si="15"/>
        <v>0</v>
      </c>
      <c r="J38" s="118">
        <f t="shared" si="15"/>
        <v>0</v>
      </c>
      <c r="K38" s="118">
        <f t="shared" si="15"/>
        <v>0</v>
      </c>
      <c r="L38" s="118">
        <f t="shared" si="15"/>
        <v>0</v>
      </c>
      <c r="M38" s="118">
        <f t="shared" si="15"/>
        <v>0</v>
      </c>
      <c r="N38" s="118">
        <f t="shared" si="15"/>
        <v>0</v>
      </c>
      <c r="O38" s="118">
        <f t="shared" si="15"/>
        <v>0</v>
      </c>
      <c r="P38" s="118">
        <f t="shared" si="15"/>
        <v>0</v>
      </c>
      <c r="Q38" s="118">
        <f t="shared" si="15"/>
        <v>0</v>
      </c>
      <c r="R38" s="118">
        <f t="shared" si="15"/>
        <v>0</v>
      </c>
      <c r="S38" s="118">
        <f t="shared" si="15"/>
        <v>0</v>
      </c>
      <c r="T38" s="118">
        <f t="shared" si="15"/>
        <v>0</v>
      </c>
      <c r="U38" s="118">
        <f t="shared" si="15"/>
        <v>0</v>
      </c>
      <c r="V38" s="118">
        <f t="shared" si="15"/>
        <v>0</v>
      </c>
      <c r="W38" s="118">
        <f t="shared" si="15"/>
        <v>0</v>
      </c>
      <c r="X38" s="118">
        <f t="shared" si="15"/>
        <v>0</v>
      </c>
      <c r="Y38" s="118">
        <f t="shared" si="15"/>
        <v>0</v>
      </c>
      <c r="Z38" s="118">
        <f t="shared" si="15"/>
        <v>0</v>
      </c>
      <c r="AA38" s="118">
        <f t="shared" si="15"/>
        <v>0</v>
      </c>
      <c r="AB38" s="118">
        <f t="shared" si="15"/>
        <v>0</v>
      </c>
      <c r="AC38" s="118">
        <f t="shared" si="15"/>
        <v>0</v>
      </c>
      <c r="AD38" s="118">
        <f t="shared" si="15"/>
        <v>0</v>
      </c>
      <c r="AE38" s="118">
        <f t="shared" si="15"/>
        <v>0</v>
      </c>
      <c r="AF38" s="118">
        <f t="shared" si="15"/>
        <v>0</v>
      </c>
      <c r="AG38" s="118">
        <f t="shared" si="15"/>
        <v>0</v>
      </c>
      <c r="AH38" s="118">
        <f t="shared" si="15"/>
        <v>0</v>
      </c>
      <c r="AI38" s="118">
        <f t="shared" si="15"/>
        <v>0</v>
      </c>
      <c r="AJ38" s="118">
        <f t="shared" si="15"/>
        <v>0</v>
      </c>
      <c r="AK38" s="118">
        <f t="shared" si="15"/>
        <v>0</v>
      </c>
      <c r="AL38" s="118">
        <f t="shared" si="15"/>
        <v>10707666.90316131</v>
      </c>
      <c r="AM38" s="118">
        <f t="shared" si="15"/>
        <v>0</v>
      </c>
      <c r="AN38" s="118">
        <f t="shared" si="15"/>
        <v>0</v>
      </c>
      <c r="AO38" s="118">
        <f t="shared" si="15"/>
        <v>0</v>
      </c>
      <c r="AP38" s="118">
        <f t="shared" si="15"/>
        <v>0</v>
      </c>
      <c r="AQ38" s="118">
        <f t="shared" si="15"/>
        <v>0</v>
      </c>
    </row>
    <row r="39" spans="1:43" ht="15" customHeight="1" x14ac:dyDescent="0.3">
      <c r="A39" s="191"/>
      <c r="B39" s="119" t="s">
        <v>230</v>
      </c>
      <c r="D39" s="86"/>
      <c r="E39" s="11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row>
    <row r="40" spans="1:43" ht="15" customHeight="1" x14ac:dyDescent="0.3">
      <c r="A40" s="191"/>
      <c r="B40" s="111" t="s">
        <v>228</v>
      </c>
      <c r="C40" s="112"/>
      <c r="D40" s="113"/>
      <c r="E40" s="114">
        <f>E16+E19+E22+E25+E28+E31+E34+E37</f>
        <v>0</v>
      </c>
      <c r="F40" s="114">
        <f t="shared" ref="F40:AQ40" si="16">F16+F19+F22+F25+F28+F31+F34+F37</f>
        <v>0</v>
      </c>
      <c r="G40" s="114">
        <f t="shared" si="16"/>
        <v>0</v>
      </c>
      <c r="H40" s="114">
        <f t="shared" si="16"/>
        <v>0</v>
      </c>
      <c r="I40" s="114">
        <f t="shared" si="16"/>
        <v>0</v>
      </c>
      <c r="J40" s="114">
        <f t="shared" si="16"/>
        <v>0</v>
      </c>
      <c r="K40" s="114">
        <f t="shared" si="16"/>
        <v>0</v>
      </c>
      <c r="L40" s="114">
        <f t="shared" si="16"/>
        <v>0</v>
      </c>
      <c r="M40" s="114">
        <f t="shared" si="16"/>
        <v>0</v>
      </c>
      <c r="N40" s="114">
        <f t="shared" si="16"/>
        <v>0</v>
      </c>
      <c r="O40" s="114">
        <f t="shared" si="16"/>
        <v>0</v>
      </c>
      <c r="P40" s="114">
        <f t="shared" si="16"/>
        <v>34363192.561629228</v>
      </c>
      <c r="Q40" s="114">
        <f t="shared" si="16"/>
        <v>0</v>
      </c>
      <c r="R40" s="114">
        <f t="shared" si="16"/>
        <v>24475363.948322278</v>
      </c>
      <c r="S40" s="114">
        <f t="shared" si="16"/>
        <v>0</v>
      </c>
      <c r="T40" s="114">
        <f t="shared" si="16"/>
        <v>0</v>
      </c>
      <c r="U40" s="114">
        <f t="shared" si="16"/>
        <v>0</v>
      </c>
      <c r="V40" s="114">
        <f t="shared" si="16"/>
        <v>28929768.223275162</v>
      </c>
      <c r="W40" s="114">
        <f t="shared" si="16"/>
        <v>0</v>
      </c>
      <c r="X40" s="114">
        <f t="shared" si="16"/>
        <v>0</v>
      </c>
      <c r="Y40" s="114">
        <f t="shared" si="16"/>
        <v>30017306.486625582</v>
      </c>
      <c r="Z40" s="114">
        <f t="shared" si="16"/>
        <v>0</v>
      </c>
      <c r="AA40" s="114">
        <f t="shared" si="16"/>
        <v>0</v>
      </c>
      <c r="AB40" s="114">
        <f t="shared" si="16"/>
        <v>35510082.854372598</v>
      </c>
      <c r="AC40" s="114">
        <f t="shared" si="16"/>
        <v>0</v>
      </c>
      <c r="AD40" s="114">
        <f t="shared" si="16"/>
        <v>45518278.215188041</v>
      </c>
      <c r="AE40" s="114">
        <f t="shared" si="16"/>
        <v>0</v>
      </c>
      <c r="AF40" s="114">
        <f t="shared" si="16"/>
        <v>0</v>
      </c>
      <c r="AG40" s="114">
        <f t="shared" si="16"/>
        <v>42338085.8329257</v>
      </c>
      <c r="AH40" s="114">
        <f t="shared" si="16"/>
        <v>0</v>
      </c>
      <c r="AI40" s="114">
        <f t="shared" si="16"/>
        <v>0</v>
      </c>
      <c r="AJ40" s="114">
        <f t="shared" si="16"/>
        <v>0</v>
      </c>
      <c r="AK40" s="114">
        <f t="shared" si="16"/>
        <v>0</v>
      </c>
      <c r="AL40" s="114">
        <f t="shared" si="16"/>
        <v>40281223.111892566</v>
      </c>
      <c r="AM40" s="114">
        <f t="shared" si="16"/>
        <v>0</v>
      </c>
      <c r="AN40" s="114">
        <f t="shared" si="16"/>
        <v>0</v>
      </c>
      <c r="AO40" s="114">
        <f t="shared" si="16"/>
        <v>0</v>
      </c>
      <c r="AP40" s="114">
        <f t="shared" si="16"/>
        <v>0</v>
      </c>
      <c r="AQ40" s="114">
        <f t="shared" si="16"/>
        <v>0</v>
      </c>
    </row>
    <row r="41" spans="1:43" ht="15" customHeight="1" x14ac:dyDescent="0.3">
      <c r="A41" s="191"/>
      <c r="B41" s="116" t="s">
        <v>229</v>
      </c>
      <c r="C41" s="97"/>
      <c r="D41" s="97"/>
      <c r="E41" s="117">
        <f>E17+E20+E23+E26+E29+E32+E35+E38</f>
        <v>0</v>
      </c>
      <c r="F41" s="117">
        <f t="shared" ref="F41:AQ41" si="17">F17+F20+F23+F26+F29+F32+F35+F38</f>
        <v>0</v>
      </c>
      <c r="G41" s="117">
        <f t="shared" si="17"/>
        <v>0</v>
      </c>
      <c r="H41" s="117">
        <f t="shared" si="17"/>
        <v>0</v>
      </c>
      <c r="I41" s="117">
        <f t="shared" si="17"/>
        <v>0</v>
      </c>
      <c r="J41" s="117">
        <f t="shared" si="17"/>
        <v>0</v>
      </c>
      <c r="K41" s="117">
        <f t="shared" si="17"/>
        <v>0</v>
      </c>
      <c r="L41" s="117">
        <f t="shared" si="17"/>
        <v>0</v>
      </c>
      <c r="M41" s="117">
        <f t="shared" si="17"/>
        <v>0</v>
      </c>
      <c r="N41" s="117">
        <f t="shared" si="17"/>
        <v>0</v>
      </c>
      <c r="O41" s="117">
        <f t="shared" si="17"/>
        <v>0</v>
      </c>
      <c r="P41" s="117">
        <f t="shared" si="17"/>
        <v>1808589.0821910128</v>
      </c>
      <c r="Q41" s="117">
        <f t="shared" si="17"/>
        <v>0</v>
      </c>
      <c r="R41" s="117">
        <f t="shared" si="17"/>
        <v>756970.01902027801</v>
      </c>
      <c r="S41" s="117">
        <f t="shared" si="17"/>
        <v>0</v>
      </c>
      <c r="T41" s="117">
        <f t="shared" si="17"/>
        <v>0</v>
      </c>
      <c r="U41" s="117">
        <f t="shared" si="17"/>
        <v>0</v>
      </c>
      <c r="V41" s="117">
        <f t="shared" si="17"/>
        <v>7232442.0558187887</v>
      </c>
      <c r="W41" s="117">
        <f t="shared" si="17"/>
        <v>0</v>
      </c>
      <c r="X41" s="117">
        <f t="shared" si="17"/>
        <v>0</v>
      </c>
      <c r="Y41" s="117">
        <f t="shared" si="17"/>
        <v>2259367.1549073011</v>
      </c>
      <c r="Z41" s="117">
        <f t="shared" si="17"/>
        <v>0</v>
      </c>
      <c r="AA41" s="117">
        <f t="shared" si="17"/>
        <v>0</v>
      </c>
      <c r="AB41" s="117">
        <f t="shared" si="17"/>
        <v>358687.70559972525</v>
      </c>
      <c r="AC41" s="117">
        <f t="shared" si="17"/>
        <v>0</v>
      </c>
      <c r="AD41" s="117">
        <f t="shared" si="17"/>
        <v>2395698.8534309492</v>
      </c>
      <c r="AE41" s="117">
        <f t="shared" si="17"/>
        <v>0</v>
      </c>
      <c r="AF41" s="117">
        <f t="shared" si="17"/>
        <v>0</v>
      </c>
      <c r="AG41" s="117">
        <f t="shared" si="17"/>
        <v>427657.43265581876</v>
      </c>
      <c r="AH41" s="117">
        <f t="shared" si="17"/>
        <v>0</v>
      </c>
      <c r="AI41" s="117">
        <f t="shared" si="17"/>
        <v>0</v>
      </c>
      <c r="AJ41" s="117">
        <f t="shared" si="17"/>
        <v>0</v>
      </c>
      <c r="AK41" s="117">
        <f t="shared" si="17"/>
        <v>0</v>
      </c>
      <c r="AL41" s="117">
        <f t="shared" si="17"/>
        <v>10707666.90316131</v>
      </c>
      <c r="AM41" s="117">
        <f t="shared" si="17"/>
        <v>0</v>
      </c>
      <c r="AN41" s="117">
        <f t="shared" si="17"/>
        <v>0</v>
      </c>
      <c r="AO41" s="117">
        <f t="shared" si="17"/>
        <v>0</v>
      </c>
      <c r="AP41" s="117">
        <f t="shared" si="17"/>
        <v>0</v>
      </c>
      <c r="AQ41" s="117">
        <f t="shared" si="17"/>
        <v>0</v>
      </c>
    </row>
    <row r="42" spans="1:43" ht="15" customHeight="1" x14ac:dyDescent="0.3">
      <c r="A42" s="191"/>
      <c r="B42" s="121" t="s">
        <v>231</v>
      </c>
      <c r="C42" s="122"/>
      <c r="D42" s="122"/>
      <c r="E42" s="123">
        <f>E13</f>
        <v>0</v>
      </c>
      <c r="F42" s="124">
        <f>F13</f>
        <v>0</v>
      </c>
      <c r="G42" s="124">
        <f>G13</f>
        <v>0</v>
      </c>
      <c r="H42" s="124">
        <f>IF(H52=0,0,IF(G63&gt;H41,H41,G63))</f>
        <v>0</v>
      </c>
      <c r="I42" s="124">
        <f t="shared" ref="I42:L42" si="18">IF(I52=0,0,IF(H63&gt;I41,I41,H63))</f>
        <v>0</v>
      </c>
      <c r="J42" s="124">
        <f t="shared" si="18"/>
        <v>0</v>
      </c>
      <c r="K42" s="124">
        <f t="shared" si="18"/>
        <v>0</v>
      </c>
      <c r="L42" s="124">
        <f t="shared" si="18"/>
        <v>0</v>
      </c>
      <c r="M42" s="124">
        <f>IF(M52=0,0,IF(L63&gt;M41,M41,L63))</f>
        <v>0</v>
      </c>
      <c r="N42" s="124">
        <f t="shared" ref="N42:P42" si="19">IF(N52=0,0,IF(M63&gt;N41,N41,M63))</f>
        <v>0</v>
      </c>
      <c r="O42" s="124">
        <f t="shared" si="19"/>
        <v>0</v>
      </c>
      <c r="P42" s="124">
        <f t="shared" si="19"/>
        <v>1808589.0821910128</v>
      </c>
      <c r="Q42" s="124">
        <f t="shared" ref="Q42" si="20">IF(Q52=0,0,IF(P63&gt;Q41,Q41,P63))</f>
        <v>0</v>
      </c>
      <c r="R42" s="124">
        <f t="shared" ref="R42:S42" si="21">IF(R52=0,0,IF(Q63&gt;R41,R41,Q63))</f>
        <v>756970.01902027801</v>
      </c>
      <c r="S42" s="124">
        <f t="shared" si="21"/>
        <v>0</v>
      </c>
      <c r="T42" s="124">
        <f t="shared" ref="T42" si="22">IF(T52=0,0,IF(S63&gt;T41,T41,S63))</f>
        <v>0</v>
      </c>
      <c r="U42" s="124">
        <f t="shared" ref="U42:V42" si="23">IF(U52=0,0,IF(T63&gt;U41,U41,T63))</f>
        <v>0</v>
      </c>
      <c r="V42" s="124">
        <f t="shared" si="23"/>
        <v>7232442.0558187887</v>
      </c>
      <c r="W42" s="124">
        <f t="shared" ref="W42" si="24">IF(W52=0,0,IF(V63&gt;W41,W41,V63))</f>
        <v>0</v>
      </c>
      <c r="X42" s="124">
        <f t="shared" ref="X42:Y42" si="25">IF(X52=0,0,IF(W63&gt;X41,X41,W63))</f>
        <v>0</v>
      </c>
      <c r="Y42" s="124">
        <f t="shared" si="25"/>
        <v>2259367.1549073011</v>
      </c>
      <c r="Z42" s="124">
        <f t="shared" ref="Z42" si="26">IF(Z52=0,0,IF(Y63&gt;Z41,Z41,Y63))</f>
        <v>0</v>
      </c>
      <c r="AA42" s="124">
        <f>IF(AA52=0,0,IF(Z63&gt;AA41,AA41,Z63))</f>
        <v>0</v>
      </c>
      <c r="AB42" s="124">
        <f t="shared" ref="AB42" si="27">IF(AB52=0,0,IF(AA63&gt;AB41,AB41,AA63))</f>
        <v>358687.70559972525</v>
      </c>
      <c r="AC42" s="124">
        <f t="shared" ref="AC42" si="28">IF(AC52=0,0,IF(AB63&gt;AC41,AC41,AB63))</f>
        <v>0</v>
      </c>
      <c r="AD42" s="124">
        <f>IF(AD52=0,0,IF(AC63&gt;AD41,AD41,AC63))</f>
        <v>2395698.8534309492</v>
      </c>
      <c r="AE42" s="124">
        <f>IF(AE52=0,0,IF(AD63&gt;AE41,AE41,AD63))</f>
        <v>0</v>
      </c>
      <c r="AF42" s="124">
        <f t="shared" ref="AF42" si="29">IF(AF52=0,0,IF(AE63&gt;AF41,AF41,AE63))</f>
        <v>0</v>
      </c>
      <c r="AG42" s="124">
        <f t="shared" ref="AG42" si="30">IF(AG52=0,0,IF(AF63&gt;AG41,AG41,AF63))</f>
        <v>427657.43265581876</v>
      </c>
      <c r="AH42" s="124">
        <f t="shared" ref="AH42" si="31">IF(AH52=0,0,IF(AG63&gt;AH41,AH41,AG63))</f>
        <v>0</v>
      </c>
      <c r="AI42" s="124">
        <f>IF(AI52=0,0,IF(AH63&gt;AI41,AI41,AH63))</f>
        <v>0</v>
      </c>
      <c r="AJ42" s="124">
        <f t="shared" ref="AJ42" si="32">IF(AJ52=0,0,IF(AI63&gt;AJ41,AJ41,AI63))</f>
        <v>0</v>
      </c>
      <c r="AK42" s="124">
        <f t="shared" ref="AK42" si="33">IF(AK52=0,0,IF(AJ63&gt;AK41,AK41,AJ63))</f>
        <v>0</v>
      </c>
      <c r="AL42" s="124">
        <f>IF(AL52=0,0,IF(AK63&gt;AL41,AL41,AK63+AL60))</f>
        <v>691339.29275437538</v>
      </c>
      <c r="AM42" s="124">
        <f t="shared" ref="AM42" si="34">IF(AM52=0,0,IF(AL63&gt;AM41,AM41,AL63))</f>
        <v>0</v>
      </c>
      <c r="AN42" s="124">
        <f t="shared" ref="AN42" si="35">IF(AN52=0,0,IF(AM63&gt;AN41,AN41,AM63))</f>
        <v>0</v>
      </c>
      <c r="AO42" s="124">
        <f t="shared" ref="AO42" si="36">IF(AO52=0,0,IF(AN63&gt;AO41,AO41,AN63))</f>
        <v>0</v>
      </c>
      <c r="AP42" s="124">
        <f t="shared" ref="AP42" si="37">IF(AP52=0,0,IF(AO63&gt;AP41,AP41,AO63))</f>
        <v>0</v>
      </c>
      <c r="AQ42" s="124">
        <f t="shared" ref="AQ42" si="38">IF(AQ52=0,0,IF(AP63&gt;AQ41,AQ41,AP63))</f>
        <v>0</v>
      </c>
    </row>
    <row r="43" spans="1:43" ht="15" customHeight="1" x14ac:dyDescent="0.3">
      <c r="A43" s="192"/>
      <c r="B43" s="125" t="s">
        <v>232</v>
      </c>
      <c r="C43" s="126"/>
      <c r="D43" s="126"/>
      <c r="E43" s="127">
        <v>0</v>
      </c>
      <c r="F43" s="127">
        <v>0</v>
      </c>
      <c r="G43" s="127">
        <v>0</v>
      </c>
      <c r="H43" s="127">
        <v>0</v>
      </c>
      <c r="I43" s="127">
        <v>0</v>
      </c>
      <c r="J43" s="127">
        <v>0</v>
      </c>
      <c r="K43" s="127">
        <v>0</v>
      </c>
      <c r="L43" s="128">
        <f t="shared" ref="L43:AQ43" si="39">(L40+L41)-L40-L42</f>
        <v>0</v>
      </c>
      <c r="M43" s="128">
        <f t="shared" si="39"/>
        <v>0</v>
      </c>
      <c r="N43" s="128">
        <f t="shared" si="39"/>
        <v>0</v>
      </c>
      <c r="O43" s="128">
        <f t="shared" si="39"/>
        <v>0</v>
      </c>
      <c r="P43" s="128">
        <f t="shared" si="39"/>
        <v>0</v>
      </c>
      <c r="Q43" s="128">
        <f t="shared" si="39"/>
        <v>0</v>
      </c>
      <c r="R43" s="128">
        <f t="shared" si="39"/>
        <v>0</v>
      </c>
      <c r="S43" s="128">
        <f t="shared" si="39"/>
        <v>0</v>
      </c>
      <c r="T43" s="128">
        <f t="shared" si="39"/>
        <v>0</v>
      </c>
      <c r="U43" s="128">
        <f t="shared" si="39"/>
        <v>0</v>
      </c>
      <c r="V43" s="128">
        <f t="shared" si="39"/>
        <v>0</v>
      </c>
      <c r="W43" s="128">
        <f t="shared" si="39"/>
        <v>0</v>
      </c>
      <c r="X43" s="128">
        <f t="shared" si="39"/>
        <v>0</v>
      </c>
      <c r="Y43" s="128">
        <f t="shared" si="39"/>
        <v>0</v>
      </c>
      <c r="Z43" s="128">
        <f t="shared" si="39"/>
        <v>0</v>
      </c>
      <c r="AA43" s="128">
        <f t="shared" si="39"/>
        <v>0</v>
      </c>
      <c r="AB43" s="128">
        <f t="shared" si="39"/>
        <v>0</v>
      </c>
      <c r="AC43" s="128">
        <f t="shared" si="39"/>
        <v>0</v>
      </c>
      <c r="AD43" s="128">
        <f t="shared" si="39"/>
        <v>0</v>
      </c>
      <c r="AE43" s="128">
        <f t="shared" si="39"/>
        <v>0</v>
      </c>
      <c r="AF43" s="128">
        <f t="shared" si="39"/>
        <v>0</v>
      </c>
      <c r="AG43" s="128">
        <f t="shared" si="39"/>
        <v>0</v>
      </c>
      <c r="AH43" s="128">
        <f t="shared" si="39"/>
        <v>0</v>
      </c>
      <c r="AI43" s="128">
        <f t="shared" si="39"/>
        <v>0</v>
      </c>
      <c r="AJ43" s="128">
        <f t="shared" si="39"/>
        <v>0</v>
      </c>
      <c r="AK43" s="128">
        <f t="shared" si="39"/>
        <v>0</v>
      </c>
      <c r="AL43" s="128">
        <f t="shared" si="39"/>
        <v>10016327.610406935</v>
      </c>
      <c r="AM43" s="128">
        <f t="shared" si="39"/>
        <v>0</v>
      </c>
      <c r="AN43" s="128">
        <f t="shared" si="39"/>
        <v>0</v>
      </c>
      <c r="AO43" s="128">
        <f t="shared" si="39"/>
        <v>0</v>
      </c>
      <c r="AP43" s="128">
        <f t="shared" si="39"/>
        <v>0</v>
      </c>
      <c r="AQ43" s="128">
        <f t="shared" si="39"/>
        <v>0</v>
      </c>
    </row>
    <row r="44" spans="1:43" x14ac:dyDescent="0.3">
      <c r="A44" s="193"/>
      <c r="B44" s="95"/>
      <c r="C44" s="95"/>
      <c r="D44" s="95"/>
      <c r="E44" s="96"/>
      <c r="F44" s="129"/>
      <c r="G44" s="129"/>
      <c r="H44" s="129"/>
      <c r="I44" s="129"/>
      <c r="J44" s="129"/>
      <c r="K44" s="129"/>
      <c r="L44" s="129"/>
      <c r="M44" s="129"/>
      <c r="N44" s="129"/>
      <c r="O44" s="129"/>
      <c r="P44" s="129"/>
      <c r="Q44" s="129"/>
      <c r="R44" s="129"/>
      <c r="S44" s="129"/>
      <c r="T44" s="108"/>
      <c r="U44" s="108"/>
      <c r="V44" s="108"/>
      <c r="W44" s="108"/>
      <c r="X44" s="108"/>
      <c r="Y44" s="108"/>
      <c r="Z44" s="108"/>
      <c r="AA44" s="108"/>
      <c r="AB44" s="108"/>
      <c r="AC44" s="108"/>
      <c r="AD44" s="108"/>
      <c r="AE44" s="108"/>
      <c r="AF44" s="108"/>
      <c r="AG44" s="108"/>
      <c r="AH44" s="108"/>
      <c r="AI44" s="108"/>
      <c r="AJ44" s="108"/>
      <c r="AK44" s="108"/>
      <c r="AL44" s="108"/>
      <c r="AM44" s="108"/>
      <c r="AN44" s="108"/>
      <c r="AO44" s="108"/>
      <c r="AP44" s="108"/>
      <c r="AQ44" s="108"/>
    </row>
    <row r="45" spans="1:43" x14ac:dyDescent="0.3">
      <c r="A45" s="194" t="s">
        <v>233</v>
      </c>
      <c r="B45" s="97"/>
      <c r="C45" s="97"/>
      <c r="D45" s="97"/>
      <c r="E45" s="98"/>
      <c r="F45" s="130"/>
      <c r="G45" s="130"/>
      <c r="H45" s="130"/>
      <c r="I45" s="130"/>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130"/>
      <c r="AH45" s="130"/>
      <c r="AI45" s="130"/>
      <c r="AJ45" s="130"/>
      <c r="AK45" s="130"/>
      <c r="AL45" s="130"/>
      <c r="AM45" s="130"/>
      <c r="AN45" s="130"/>
      <c r="AO45" s="130"/>
      <c r="AP45" s="130"/>
      <c r="AQ45" s="130"/>
    </row>
    <row r="46" spans="1:43" x14ac:dyDescent="0.3">
      <c r="A46" s="435" t="s">
        <v>234</v>
      </c>
      <c r="B46" s="131"/>
      <c r="C46" s="131"/>
      <c r="D46" s="132" t="s">
        <v>235</v>
      </c>
      <c r="E46" s="133">
        <v>262</v>
      </c>
      <c r="F46" s="134">
        <v>367</v>
      </c>
      <c r="G46" s="134">
        <v>506</v>
      </c>
      <c r="H46" s="135">
        <f>'Tab 6 - Financial Model'!J29</f>
        <v>290</v>
      </c>
      <c r="I46" s="135">
        <f>'Tab 6 - Financial Model'!K29</f>
        <v>309</v>
      </c>
      <c r="J46" s="135">
        <f>'Tab 6 - Financial Model'!L29</f>
        <v>327</v>
      </c>
      <c r="K46" s="135">
        <f>'Tab 6 - Financial Model'!M29</f>
        <v>321</v>
      </c>
      <c r="L46" s="135">
        <f>'Tab 6 - Financial Model'!N29</f>
        <v>321</v>
      </c>
      <c r="M46" s="135">
        <f>'Tab 6 - Financial Model'!O29</f>
        <v>318.48089795918366</v>
      </c>
      <c r="N46" s="135">
        <f>'Tab 6 - Financial Model'!P29</f>
        <v>315.96179591836733</v>
      </c>
      <c r="O46" s="135">
        <f>'Tab 6 - Financial Model'!Q29</f>
        <v>313.44269387755099</v>
      </c>
      <c r="P46" s="135">
        <f>'Tab 6 - Financial Model'!R29</f>
        <v>310.92359183673466</v>
      </c>
      <c r="Q46" s="135">
        <f>'Tab 6 - Financial Model'!S29</f>
        <v>308.40448979591832</v>
      </c>
      <c r="R46" s="135">
        <f>'Tab 6 - Financial Model'!T29</f>
        <v>305.88538775510199</v>
      </c>
      <c r="S46" s="135">
        <f>'Tab 6 - Financial Model'!U29</f>
        <v>303.36628571428565</v>
      </c>
      <c r="T46" s="135">
        <f>'Tab 6 - Financial Model'!V29</f>
        <v>300.84718367346932</v>
      </c>
      <c r="U46" s="135">
        <f>'Tab 6 - Financial Model'!W29</f>
        <v>298.32808163265298</v>
      </c>
      <c r="V46" s="135">
        <f>'Tab 6 - Financial Model'!X29</f>
        <v>295.80897959183665</v>
      </c>
      <c r="W46" s="135">
        <f>'Tab 6 - Financial Model'!Y29</f>
        <v>293.28987755102031</v>
      </c>
      <c r="X46" s="135">
        <f>'Tab 6 - Financial Model'!Z29</f>
        <v>290.77077551020398</v>
      </c>
      <c r="Y46" s="135">
        <f>'Tab 6 - Financial Model'!AA29</f>
        <v>288.25167346938764</v>
      </c>
      <c r="Z46" s="135">
        <f>'Tab 6 - Financial Model'!AB29</f>
        <v>285.7325714285713</v>
      </c>
      <c r="AA46" s="135">
        <f>'Tab 6 - Financial Model'!AC29</f>
        <v>283.21346938775497</v>
      </c>
      <c r="AB46" s="135">
        <f>'Tab 6 - Financial Model'!AD29</f>
        <v>280.69436734693863</v>
      </c>
      <c r="AC46" s="135">
        <f>'Tab 6 - Financial Model'!AE29</f>
        <v>278.1752653061223</v>
      </c>
      <c r="AD46" s="135">
        <f>'Tab 6 - Financial Model'!AF29</f>
        <v>275.65616326530596</v>
      </c>
      <c r="AE46" s="135">
        <f>'Tab 6 - Financial Model'!AG29</f>
        <v>273.13706122448963</v>
      </c>
      <c r="AF46" s="135">
        <f>'Tab 6 - Financial Model'!AH29</f>
        <v>270.61795918367329</v>
      </c>
      <c r="AG46" s="135">
        <f>'Tab 6 - Financial Model'!AI29</f>
        <v>268.09885714285696</v>
      </c>
      <c r="AH46" s="135">
        <f>'Tab 6 - Financial Model'!AJ29</f>
        <v>265.57975510204062</v>
      </c>
      <c r="AI46" s="135">
        <f>'Tab 6 - Financial Model'!AK29</f>
        <v>263.06065306122429</v>
      </c>
      <c r="AJ46" s="135">
        <f>'Tab 6 - Financial Model'!AL29</f>
        <v>225.741551020408</v>
      </c>
      <c r="AK46" s="135">
        <f>'Tab 6 - Financial Model'!AM29</f>
        <v>223.222448979592</v>
      </c>
      <c r="AL46" s="135">
        <f>'Tab 6 - Financial Model'!AN29</f>
        <v>220.70334693877498</v>
      </c>
      <c r="AM46" s="135">
        <f>'Tab 6 - Financial Model'!AO29</f>
        <v>218.18424489795899</v>
      </c>
      <c r="AN46" s="135">
        <f>'Tab 6 - Financial Model'!AP29</f>
        <v>215.665142857143</v>
      </c>
      <c r="AO46" s="135">
        <f>'Tab 6 - Financial Model'!AQ29</f>
        <v>0</v>
      </c>
      <c r="AP46" s="135">
        <f>'Tab 6 - Financial Model'!AR29</f>
        <v>0</v>
      </c>
      <c r="AQ46" s="135">
        <f>'Tab 6 - Financial Model'!AS29</f>
        <v>0</v>
      </c>
    </row>
    <row r="47" spans="1:43" x14ac:dyDescent="0.3">
      <c r="A47" s="436"/>
      <c r="B47" s="122"/>
      <c r="C47" s="122"/>
      <c r="D47" s="121" t="s">
        <v>236</v>
      </c>
      <c r="E47" s="136">
        <v>19938</v>
      </c>
      <c r="F47" s="137">
        <v>20058</v>
      </c>
      <c r="G47" s="137">
        <v>22144</v>
      </c>
      <c r="H47" s="137">
        <v>22359</v>
      </c>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8"/>
      <c r="AP47" s="138"/>
      <c r="AQ47" s="138"/>
    </row>
    <row r="48" spans="1:43" x14ac:dyDescent="0.3">
      <c r="A48" s="436"/>
      <c r="B48" s="122"/>
      <c r="C48" s="122"/>
      <c r="D48" s="121" t="s">
        <v>237</v>
      </c>
      <c r="E48" s="136">
        <f>E46*E47</f>
        <v>5223756</v>
      </c>
      <c r="F48" s="137">
        <f t="shared" ref="F48:H48" si="40">F46*F47</f>
        <v>7361286</v>
      </c>
      <c r="G48" s="137">
        <f t="shared" si="40"/>
        <v>11204864</v>
      </c>
      <c r="H48" s="137">
        <f t="shared" si="40"/>
        <v>6484110</v>
      </c>
      <c r="I48" s="138"/>
      <c r="J48" s="138"/>
      <c r="K48" s="138"/>
      <c r="L48" s="138"/>
      <c r="M48" s="138"/>
      <c r="N48" s="138"/>
      <c r="O48" s="138"/>
      <c r="P48" s="138"/>
      <c r="Q48" s="138"/>
      <c r="R48" s="138"/>
      <c r="S48" s="138"/>
      <c r="T48" s="138"/>
      <c r="U48" s="138"/>
      <c r="V48" s="138"/>
      <c r="W48" s="138"/>
      <c r="X48" s="138"/>
      <c r="Y48" s="138"/>
      <c r="Z48" s="138"/>
      <c r="AA48" s="138"/>
      <c r="AB48" s="138"/>
      <c r="AC48" s="138"/>
      <c r="AD48" s="138"/>
      <c r="AE48" s="138"/>
      <c r="AF48" s="138"/>
      <c r="AG48" s="138"/>
      <c r="AH48" s="138"/>
      <c r="AI48" s="138"/>
      <c r="AJ48" s="138"/>
      <c r="AK48" s="138"/>
      <c r="AL48" s="138"/>
      <c r="AM48" s="138"/>
      <c r="AN48" s="138"/>
      <c r="AO48" s="138"/>
      <c r="AP48" s="138"/>
      <c r="AQ48" s="138"/>
    </row>
    <row r="49" spans="1:44" x14ac:dyDescent="0.3">
      <c r="A49" s="437"/>
      <c r="B49" s="139"/>
      <c r="C49" s="139"/>
      <c r="D49" s="140" t="s">
        <v>238</v>
      </c>
      <c r="E49" s="141">
        <v>0</v>
      </c>
      <c r="F49" s="142">
        <v>0</v>
      </c>
      <c r="G49" s="142">
        <v>0</v>
      </c>
      <c r="H49" s="142">
        <v>0</v>
      </c>
      <c r="I49" s="143">
        <f>'Tab 6 - Financial Model'!K34</f>
        <v>5281276.5701110484</v>
      </c>
      <c r="J49" s="143">
        <f>'Tab 6 - Financial Model'!L34</f>
        <v>5828688.5777825294</v>
      </c>
      <c r="K49" s="143">
        <f>'Tab 6 - Financial Model'!M34</f>
        <v>5967202.816525925</v>
      </c>
      <c r="L49" s="143">
        <f>'Tab 6 - Financial Model'!N34</f>
        <v>6223195.8173548868</v>
      </c>
      <c r="M49" s="143">
        <f>'Tab 6 - Financial Model'!O34</f>
        <v>6439238.1989020351</v>
      </c>
      <c r="N49" s="143">
        <f>'Tab 6 - Financial Model'!P34</f>
        <v>6662363.7849717112</v>
      </c>
      <c r="O49" s="143">
        <f>'Tab 6 - Financial Model'!Q34</f>
        <v>6892782.7079525236</v>
      </c>
      <c r="P49" s="143">
        <f>'Tab 6 - Financial Model'!R34</f>
        <v>7130710.0935915913</v>
      </c>
      <c r="Q49" s="143">
        <f>'Tab 6 - Financial Model'!S34</f>
        <v>7376366.1026949463</v>
      </c>
      <c r="R49" s="143">
        <f>'Tab 6 - Financial Model'!T34</f>
        <v>7629975.9672160223</v>
      </c>
      <c r="S49" s="143">
        <f>'Tab 6 - Financial Model'!U34</f>
        <v>7891770.0201739473</v>
      </c>
      <c r="T49" s="143">
        <f>'Tab 6 - Financial Model'!V34</f>
        <v>8161983.7188058374</v>
      </c>
      <c r="U49" s="143">
        <f>'Tab 6 - Financial Model'!W34</f>
        <v>8440857.6603175141</v>
      </c>
      <c r="V49" s="143">
        <f>'Tab 6 - Financial Model'!X34</f>
        <v>8728637.5895549674</v>
      </c>
      <c r="W49" s="143">
        <f>'Tab 6 - Financial Model'!Y34</f>
        <v>9025574.3978743684</v>
      </c>
      <c r="X49" s="143">
        <f>'Tab 6 - Financial Model'!Z34</f>
        <v>9331924.1124413814</v>
      </c>
      <c r="Y49" s="143">
        <f>'Tab 6 - Financial Model'!AA34</f>
        <v>9647947.8751406521</v>
      </c>
      <c r="Z49" s="143">
        <f>'Tab 6 - Financial Model'!AB34</f>
        <v>9973911.9102237411</v>
      </c>
      <c r="AA49" s="143">
        <f>'Tab 6 - Financial Model'!AC34</f>
        <v>10310087.479768073</v>
      </c>
      <c r="AB49" s="143">
        <f>'Tab 6 - Financial Model'!AD34</f>
        <v>10656750.825960612</v>
      </c>
      <c r="AC49" s="143">
        <f>'Tab 6 - Financial Model'!AE34</f>
        <v>11014183.099157833</v>
      </c>
      <c r="AD49" s="143">
        <f>'Tab 6 - Financial Model'!AF34</f>
        <v>11382670.270607768</v>
      </c>
      <c r="AE49" s="143">
        <f>'Tab 6 - Financial Model'!AG34</f>
        <v>11762503.028650586</v>
      </c>
      <c r="AF49" s="143">
        <f>'Tab 6 - Financial Model'!AH34</f>
        <v>12153976.65714075</v>
      </c>
      <c r="AG49" s="143">
        <f>'Tab 6 - Financial Model'!AI34</f>
        <v>12557390.894756408</v>
      </c>
      <c r="AH49" s="143">
        <f>'Tab 6 - Financial Model'!AJ34</f>
        <v>12973049.773779923</v>
      </c>
      <c r="AI49" s="143">
        <f>'Tab 6 - Financial Model'!AK34</f>
        <v>13401261.436847039</v>
      </c>
      <c r="AJ49" s="143">
        <f>'Tab 6 - Financial Model'!AL34</f>
        <v>11993445.275214944</v>
      </c>
      <c r="AK49" s="143">
        <f>'Tab 6 - Financial Model'!AM34</f>
        <v>12368384.821103383</v>
      </c>
      <c r="AL49" s="143">
        <f>'Tab 6 - Financial Model'!AN34</f>
        <v>12753421.323410032</v>
      </c>
      <c r="AM49" s="143">
        <f>'Tab 6 - Financial Model'!AO34</f>
        <v>13148731.058506051</v>
      </c>
      <c r="AN49" s="143">
        <f>'Tab 6 - Financial Model'!AP34</f>
        <v>13554486.844735488</v>
      </c>
      <c r="AO49" s="144">
        <f>'Tab 6 - Financial Model'!AQ34</f>
        <v>0</v>
      </c>
      <c r="AP49" s="144">
        <f>'Tab 6 - Financial Model'!AR34</f>
        <v>0</v>
      </c>
      <c r="AQ49" s="144">
        <f>'Tab 6 - Financial Model'!AS34</f>
        <v>0</v>
      </c>
    </row>
    <row r="50" spans="1:44" x14ac:dyDescent="0.3">
      <c r="A50" s="195"/>
      <c r="B50" s="95"/>
      <c r="C50" s="95"/>
      <c r="D50" s="95"/>
      <c r="E50" s="96"/>
      <c r="F50" s="129"/>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129"/>
      <c r="AL50" s="129"/>
      <c r="AM50" s="129"/>
      <c r="AN50" s="129"/>
      <c r="AO50" s="129"/>
      <c r="AP50" s="129"/>
      <c r="AQ50" s="129"/>
    </row>
    <row r="51" spans="1:44" x14ac:dyDescent="0.3">
      <c r="A51" s="194" t="s">
        <v>239</v>
      </c>
      <c r="B51" s="97"/>
      <c r="C51" s="97"/>
      <c r="D51" s="97"/>
      <c r="E51" s="98"/>
      <c r="F51" s="130"/>
      <c r="G51" s="130"/>
      <c r="H51" s="130"/>
      <c r="I51" s="130"/>
      <c r="J51" s="130"/>
      <c r="K51" s="130"/>
      <c r="L51" s="130"/>
      <c r="M51" s="130"/>
      <c r="N51" s="130"/>
      <c r="O51" s="130"/>
      <c r="P51" s="130"/>
      <c r="Q51" s="130"/>
      <c r="R51" s="130"/>
      <c r="S51" s="130"/>
      <c r="T51" s="130"/>
      <c r="U51" s="130"/>
      <c r="V51" s="130"/>
      <c r="W51" s="130"/>
      <c r="X51" s="130"/>
      <c r="Y51" s="130"/>
      <c r="Z51" s="130"/>
      <c r="AA51" s="130"/>
      <c r="AB51" s="130"/>
      <c r="AC51" s="130"/>
      <c r="AD51" s="130"/>
      <c r="AE51" s="130"/>
      <c r="AF51" s="130"/>
      <c r="AG51" s="130"/>
      <c r="AH51" s="130"/>
      <c r="AI51" s="130"/>
      <c r="AJ51" s="130"/>
      <c r="AK51" s="130"/>
      <c r="AL51" s="130"/>
      <c r="AM51" s="130"/>
      <c r="AN51" s="130"/>
      <c r="AO51" s="130"/>
      <c r="AP51" s="130"/>
      <c r="AQ51" s="130"/>
    </row>
    <row r="52" spans="1:44" x14ac:dyDescent="0.3">
      <c r="A52" s="435" t="s">
        <v>240</v>
      </c>
      <c r="B52" s="145"/>
      <c r="C52" s="145"/>
      <c r="D52" s="146" t="s">
        <v>241</v>
      </c>
      <c r="E52" s="147"/>
      <c r="F52" s="148"/>
      <c r="G52" s="148"/>
      <c r="H52" s="148">
        <f>G63</f>
        <v>77871752</v>
      </c>
      <c r="I52" s="148">
        <f>H63</f>
        <v>64172754.0493</v>
      </c>
      <c r="J52" s="148">
        <f t="shared" ref="J52:Y53" si="41">I63</f>
        <v>50989673.288564965</v>
      </c>
      <c r="K52" s="148">
        <f t="shared" si="41"/>
        <v>48004791.435744405</v>
      </c>
      <c r="L52" s="148">
        <f t="shared" si="41"/>
        <v>50546330.58138784</v>
      </c>
      <c r="M52" s="148">
        <f>L63</f>
        <v>51832943.983963698</v>
      </c>
      <c r="N52" s="148">
        <f t="shared" si="41"/>
        <v>54056577.280875742</v>
      </c>
      <c r="O52" s="148">
        <f t="shared" si="41"/>
        <v>56375604.446225315</v>
      </c>
      <c r="P52" s="148">
        <f t="shared" si="41"/>
        <v>35601657.840365812</v>
      </c>
      <c r="Q52" s="148">
        <f t="shared" si="41"/>
        <v>10108450.321461063</v>
      </c>
      <c r="R52" s="148">
        <f t="shared" si="41"/>
        <v>10542102.840251742</v>
      </c>
      <c r="S52" s="148">
        <f t="shared" si="41"/>
        <v>10221152.026170278</v>
      </c>
      <c r="T52" s="148">
        <f t="shared" si="41"/>
        <v>10659639.448092982</v>
      </c>
      <c r="U52" s="148">
        <f t="shared" si="41"/>
        <v>11116937.980416171</v>
      </c>
      <c r="V52" s="148">
        <f t="shared" si="41"/>
        <v>11593854.619776025</v>
      </c>
      <c r="W52" s="148">
        <f t="shared" si="41"/>
        <v>4703653.0450483151</v>
      </c>
      <c r="X52" s="148">
        <f t="shared" si="41"/>
        <v>4905439.7606808878</v>
      </c>
      <c r="Y52" s="148">
        <f t="shared" si="41"/>
        <v>5115883.1264140978</v>
      </c>
      <c r="Z52" s="148">
        <f t="shared" ref="Z52:AO53" si="42">Y63</f>
        <v>3027523.9321571998</v>
      </c>
      <c r="AA52" s="148">
        <f t="shared" si="42"/>
        <v>3157404.7088467437</v>
      </c>
      <c r="AB52" s="148">
        <f t="shared" si="42"/>
        <v>3292857.3708562688</v>
      </c>
      <c r="AC52" s="148">
        <f t="shared" si="42"/>
        <v>3067739.3951811632</v>
      </c>
      <c r="AD52" s="148">
        <f t="shared" si="42"/>
        <v>3199345.4152344353</v>
      </c>
      <c r="AE52" s="148">
        <f t="shared" si="42"/>
        <v>889510.73971094983</v>
      </c>
      <c r="AF52" s="148">
        <f t="shared" si="42"/>
        <v>927670.7504445496</v>
      </c>
      <c r="AG52" s="148">
        <f t="shared" si="42"/>
        <v>967467.82563862076</v>
      </c>
      <c r="AH52" s="148">
        <f t="shared" si="42"/>
        <v>572141.5107722315</v>
      </c>
      <c r="AI52" s="148">
        <f t="shared" si="42"/>
        <v>596686.38158436026</v>
      </c>
      <c r="AJ52" s="148">
        <f t="shared" si="42"/>
        <v>622284.22735432931</v>
      </c>
      <c r="AK52" s="148">
        <f t="shared" si="42"/>
        <v>648980.22070783004</v>
      </c>
      <c r="AL52" s="148">
        <f t="shared" si="42"/>
        <v>676821.47217619594</v>
      </c>
      <c r="AM52" s="148">
        <f t="shared" si="42"/>
        <v>0</v>
      </c>
      <c r="AN52" s="148">
        <f t="shared" si="42"/>
        <v>0</v>
      </c>
      <c r="AO52" s="148">
        <f t="shared" si="42"/>
        <v>0</v>
      </c>
      <c r="AP52" s="148">
        <f t="shared" ref="AP52:AQ53" si="43">AO63</f>
        <v>0</v>
      </c>
      <c r="AQ52" s="148">
        <f t="shared" si="43"/>
        <v>0</v>
      </c>
    </row>
    <row r="53" spans="1:44" x14ac:dyDescent="0.3">
      <c r="A53" s="437"/>
      <c r="B53" s="149"/>
      <c r="C53" s="149"/>
      <c r="D53" s="150" t="s">
        <v>242</v>
      </c>
      <c r="E53" s="151"/>
      <c r="F53" s="152"/>
      <c r="G53" s="152"/>
      <c r="H53" s="152">
        <v>0</v>
      </c>
      <c r="I53" s="152">
        <f>H64</f>
        <v>0</v>
      </c>
      <c r="J53" s="152">
        <f t="shared" si="41"/>
        <v>0</v>
      </c>
      <c r="K53" s="152">
        <f t="shared" si="41"/>
        <v>0</v>
      </c>
      <c r="L53" s="152">
        <f>K64</f>
        <v>0</v>
      </c>
      <c r="M53" s="152">
        <f t="shared" si="41"/>
        <v>5394559.9525399301</v>
      </c>
      <c r="N53" s="152">
        <f t="shared" si="41"/>
        <v>11579700.522279857</v>
      </c>
      <c r="O53" s="152">
        <f t="shared" si="41"/>
        <v>18171668.991626065</v>
      </c>
      <c r="P53" s="152">
        <f t="shared" si="41"/>
        <v>25307916.959003974</v>
      </c>
      <c r="Q53" s="152">
        <f t="shared" si="41"/>
        <v>-2129296.5872624442</v>
      </c>
      <c r="R53" s="152">
        <f t="shared" si="41"/>
        <v>4584628.0773033518</v>
      </c>
      <c r="S53" s="152">
        <f t="shared" si="41"/>
        <v>-13178418.98615602</v>
      </c>
      <c r="T53" s="152">
        <f t="shared" si="41"/>
        <v>-6460109.3355629826</v>
      </c>
      <c r="U53" s="152">
        <f t="shared" si="41"/>
        <v>797341.12953911838</v>
      </c>
      <c r="V53" s="152">
        <f t="shared" si="41"/>
        <v>8625186.0157091524</v>
      </c>
      <c r="W53" s="152">
        <f t="shared" si="41"/>
        <v>-12494056.768774662</v>
      </c>
      <c r="X53" s="152">
        <f t="shared" si="41"/>
        <v>-4692993.5345808724</v>
      </c>
      <c r="Y53" s="152">
        <f t="shared" si="41"/>
        <v>3727591.0999169331</v>
      </c>
      <c r="Z53" s="152">
        <f t="shared" si="42"/>
        <v>-17857806.086809412</v>
      </c>
      <c r="AA53" s="152">
        <f t="shared" si="42"/>
        <v>-9404732.9992247615</v>
      </c>
      <c r="AB53" s="152">
        <f t="shared" si="42"/>
        <v>-276102.1602382547</v>
      </c>
      <c r="AC53" s="152">
        <f t="shared" si="42"/>
        <v>-26704824.71744895</v>
      </c>
      <c r="AD53" s="152">
        <f t="shared" si="42"/>
        <v>-17662609.377129469</v>
      </c>
      <c r="AE53" s="152">
        <f t="shared" si="42"/>
        <v>-54383741.746103048</v>
      </c>
      <c r="AF53" s="152">
        <f t="shared" si="42"/>
        <v>-45831466.135833398</v>
      </c>
      <c r="AG53" s="152">
        <f t="shared" si="42"/>
        <v>-36547198.706425883</v>
      </c>
      <c r="AH53" s="152">
        <f t="shared" si="42"/>
        <v>-69734482.757061198</v>
      </c>
      <c r="AI53" s="152">
        <f t="shared" si="42"/>
        <v>-60711283.348723985</v>
      </c>
      <c r="AJ53" s="152">
        <f t="shared" si="42"/>
        <v>-50901117.947947823</v>
      </c>
      <c r="AK53" s="152">
        <f t="shared" si="42"/>
        <v>-40258028.978465855</v>
      </c>
      <c r="AL53" s="152">
        <f t="shared" si="42"/>
        <v>-28733776.73021454</v>
      </c>
      <c r="AM53" s="152">
        <f t="shared" si="42"/>
        <v>-57422992.604915999</v>
      </c>
      <c r="AN53" s="152">
        <f t="shared" si="42"/>
        <v>-47635734.311298586</v>
      </c>
      <c r="AO53" s="152">
        <f t="shared" si="42"/>
        <v>-37045620.637737244</v>
      </c>
      <c r="AP53" s="152">
        <f t="shared" si="43"/>
        <v>-25607895.552298993</v>
      </c>
      <c r="AQ53" s="152">
        <f t="shared" si="43"/>
        <v>-13275702.931781614</v>
      </c>
    </row>
    <row r="54" spans="1:44" x14ac:dyDescent="0.3">
      <c r="A54" s="193"/>
      <c r="B54" s="153"/>
      <c r="C54" s="95"/>
      <c r="D54" s="154"/>
      <c r="E54" s="155"/>
      <c r="F54" s="156"/>
      <c r="G54" s="156"/>
      <c r="H54" s="156"/>
      <c r="I54" s="156"/>
      <c r="J54" s="156"/>
      <c r="K54" s="156"/>
      <c r="L54" s="156"/>
      <c r="M54" s="156"/>
      <c r="N54" s="156"/>
      <c r="O54" s="156"/>
      <c r="P54" s="156"/>
      <c r="Q54" s="156"/>
      <c r="R54" s="156"/>
      <c r="S54" s="156"/>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row>
    <row r="55" spans="1:44" ht="15" customHeight="1" x14ac:dyDescent="0.3">
      <c r="A55" s="430" t="s">
        <v>243</v>
      </c>
      <c r="B55" s="132" t="s">
        <v>207</v>
      </c>
      <c r="D55" s="157">
        <v>0</v>
      </c>
      <c r="E55" s="158"/>
      <c r="F55" s="159"/>
      <c r="G55" s="159"/>
      <c r="H55" s="160">
        <f>$D55*H47*H46</f>
        <v>0</v>
      </c>
      <c r="I55" s="161">
        <f>$D55*A10*I46</f>
        <v>0</v>
      </c>
      <c r="J55" s="161">
        <f>$D55*J49*J46</f>
        <v>0</v>
      </c>
      <c r="K55" s="161">
        <f t="shared" ref="K55:AQ55" si="44">$D55*K47*K46</f>
        <v>0</v>
      </c>
      <c r="L55" s="161">
        <f t="shared" si="44"/>
        <v>0</v>
      </c>
      <c r="M55" s="161">
        <f t="shared" si="44"/>
        <v>0</v>
      </c>
      <c r="N55" s="161">
        <f t="shared" si="44"/>
        <v>0</v>
      </c>
      <c r="O55" s="161">
        <f t="shared" si="44"/>
        <v>0</v>
      </c>
      <c r="P55" s="161">
        <f t="shared" si="44"/>
        <v>0</v>
      </c>
      <c r="Q55" s="161">
        <f t="shared" si="44"/>
        <v>0</v>
      </c>
      <c r="R55" s="161">
        <f t="shared" si="44"/>
        <v>0</v>
      </c>
      <c r="S55" s="161">
        <f t="shared" si="44"/>
        <v>0</v>
      </c>
      <c r="T55" s="161">
        <f t="shared" si="44"/>
        <v>0</v>
      </c>
      <c r="U55" s="161">
        <f t="shared" si="44"/>
        <v>0</v>
      </c>
      <c r="V55" s="161">
        <f t="shared" si="44"/>
        <v>0</v>
      </c>
      <c r="W55" s="161">
        <f t="shared" si="44"/>
        <v>0</v>
      </c>
      <c r="X55" s="161">
        <f t="shared" si="44"/>
        <v>0</v>
      </c>
      <c r="Y55" s="161">
        <f t="shared" si="44"/>
        <v>0</v>
      </c>
      <c r="Z55" s="161">
        <f t="shared" si="44"/>
        <v>0</v>
      </c>
      <c r="AA55" s="161">
        <f t="shared" si="44"/>
        <v>0</v>
      </c>
      <c r="AB55" s="161">
        <f t="shared" si="44"/>
        <v>0</v>
      </c>
      <c r="AC55" s="161">
        <f t="shared" si="44"/>
        <v>0</v>
      </c>
      <c r="AD55" s="161">
        <f t="shared" si="44"/>
        <v>0</v>
      </c>
      <c r="AE55" s="161">
        <f t="shared" si="44"/>
        <v>0</v>
      </c>
      <c r="AF55" s="161">
        <f t="shared" si="44"/>
        <v>0</v>
      </c>
      <c r="AG55" s="161">
        <f t="shared" si="44"/>
        <v>0</v>
      </c>
      <c r="AH55" s="161">
        <f t="shared" si="44"/>
        <v>0</v>
      </c>
      <c r="AI55" s="161">
        <f t="shared" si="44"/>
        <v>0</v>
      </c>
      <c r="AJ55" s="161">
        <f t="shared" si="44"/>
        <v>0</v>
      </c>
      <c r="AK55" s="161">
        <f t="shared" si="44"/>
        <v>0</v>
      </c>
      <c r="AL55" s="161">
        <f t="shared" si="44"/>
        <v>0</v>
      </c>
      <c r="AM55" s="161">
        <f t="shared" si="44"/>
        <v>0</v>
      </c>
      <c r="AN55" s="161">
        <f t="shared" si="44"/>
        <v>0</v>
      </c>
      <c r="AO55" s="161">
        <f t="shared" si="44"/>
        <v>0</v>
      </c>
      <c r="AP55" s="161">
        <f t="shared" si="44"/>
        <v>0</v>
      </c>
      <c r="AQ55" s="161">
        <f t="shared" si="44"/>
        <v>0</v>
      </c>
    </row>
    <row r="56" spans="1:44" ht="15" customHeight="1" x14ac:dyDescent="0.3">
      <c r="A56" s="438"/>
      <c r="B56" s="108" t="s">
        <v>210</v>
      </c>
      <c r="D56" s="162">
        <v>0</v>
      </c>
      <c r="E56" s="163"/>
      <c r="F56" s="107"/>
      <c r="G56" s="107"/>
      <c r="H56" s="164">
        <f>$D56*G47*G46</f>
        <v>0</v>
      </c>
      <c r="I56" s="164">
        <f>$D56*H47*H46</f>
        <v>0</v>
      </c>
      <c r="J56" s="165">
        <f>$D56*A10*I46</f>
        <v>0</v>
      </c>
      <c r="K56" s="165">
        <f>$D56*J49*J46</f>
        <v>0</v>
      </c>
      <c r="L56" s="165">
        <f t="shared" ref="L56:AQ56" si="45">$D56*K47*K46</f>
        <v>0</v>
      </c>
      <c r="M56" s="165">
        <f t="shared" si="45"/>
        <v>0</v>
      </c>
      <c r="N56" s="165">
        <f t="shared" si="45"/>
        <v>0</v>
      </c>
      <c r="O56" s="165">
        <f t="shared" si="45"/>
        <v>0</v>
      </c>
      <c r="P56" s="165">
        <f t="shared" si="45"/>
        <v>0</v>
      </c>
      <c r="Q56" s="165">
        <f t="shared" si="45"/>
        <v>0</v>
      </c>
      <c r="R56" s="165">
        <f t="shared" si="45"/>
        <v>0</v>
      </c>
      <c r="S56" s="165">
        <f t="shared" si="45"/>
        <v>0</v>
      </c>
      <c r="T56" s="165">
        <f t="shared" si="45"/>
        <v>0</v>
      </c>
      <c r="U56" s="165">
        <f t="shared" si="45"/>
        <v>0</v>
      </c>
      <c r="V56" s="165">
        <f t="shared" si="45"/>
        <v>0</v>
      </c>
      <c r="W56" s="165">
        <f t="shared" si="45"/>
        <v>0</v>
      </c>
      <c r="X56" s="165">
        <f t="shared" si="45"/>
        <v>0</v>
      </c>
      <c r="Y56" s="165">
        <f t="shared" si="45"/>
        <v>0</v>
      </c>
      <c r="Z56" s="165">
        <f t="shared" si="45"/>
        <v>0</v>
      </c>
      <c r="AA56" s="165">
        <f t="shared" si="45"/>
        <v>0</v>
      </c>
      <c r="AB56" s="165">
        <f t="shared" si="45"/>
        <v>0</v>
      </c>
      <c r="AC56" s="165">
        <f t="shared" si="45"/>
        <v>0</v>
      </c>
      <c r="AD56" s="165">
        <f t="shared" si="45"/>
        <v>0</v>
      </c>
      <c r="AE56" s="165">
        <f t="shared" si="45"/>
        <v>0</v>
      </c>
      <c r="AF56" s="165">
        <f t="shared" si="45"/>
        <v>0</v>
      </c>
      <c r="AG56" s="165">
        <f t="shared" si="45"/>
        <v>0</v>
      </c>
      <c r="AH56" s="165">
        <f t="shared" si="45"/>
        <v>0</v>
      </c>
      <c r="AI56" s="165">
        <f t="shared" si="45"/>
        <v>0</v>
      </c>
      <c r="AJ56" s="165">
        <f t="shared" si="45"/>
        <v>0</v>
      </c>
      <c r="AK56" s="165">
        <f t="shared" si="45"/>
        <v>0</v>
      </c>
      <c r="AL56" s="165">
        <f t="shared" si="45"/>
        <v>0</v>
      </c>
      <c r="AM56" s="165">
        <f t="shared" si="45"/>
        <v>0</v>
      </c>
      <c r="AN56" s="165">
        <f t="shared" si="45"/>
        <v>0</v>
      </c>
      <c r="AO56" s="165">
        <f t="shared" si="45"/>
        <v>0</v>
      </c>
      <c r="AP56" s="165">
        <f t="shared" si="45"/>
        <v>0</v>
      </c>
      <c r="AQ56" s="165">
        <f t="shared" si="45"/>
        <v>0</v>
      </c>
    </row>
    <row r="57" spans="1:44" ht="15" customHeight="1" x14ac:dyDescent="0.3">
      <c r="A57" s="438"/>
      <c r="B57" s="108" t="s">
        <v>211</v>
      </c>
      <c r="D57" s="162">
        <v>0</v>
      </c>
      <c r="E57" s="163"/>
      <c r="F57" s="107"/>
      <c r="G57" s="107"/>
      <c r="H57" s="164">
        <f>$D57*F48</f>
        <v>0</v>
      </c>
      <c r="I57" s="164">
        <f>$D57*G48</f>
        <v>0</v>
      </c>
      <c r="J57" s="164">
        <f>$D57*H48</f>
        <v>0</v>
      </c>
      <c r="K57" s="165">
        <f t="shared" ref="K57:AQ57" si="46">$D57*I49</f>
        <v>0</v>
      </c>
      <c r="L57" s="165">
        <f t="shared" si="46"/>
        <v>0</v>
      </c>
      <c r="M57" s="165">
        <f t="shared" si="46"/>
        <v>0</v>
      </c>
      <c r="N57" s="165">
        <f t="shared" si="46"/>
        <v>0</v>
      </c>
      <c r="O57" s="165">
        <f t="shared" si="46"/>
        <v>0</v>
      </c>
      <c r="P57" s="165">
        <f t="shared" si="46"/>
        <v>0</v>
      </c>
      <c r="Q57" s="165">
        <f t="shared" si="46"/>
        <v>0</v>
      </c>
      <c r="R57" s="165">
        <f t="shared" si="46"/>
        <v>0</v>
      </c>
      <c r="S57" s="165">
        <f t="shared" si="46"/>
        <v>0</v>
      </c>
      <c r="T57" s="165">
        <f t="shared" si="46"/>
        <v>0</v>
      </c>
      <c r="U57" s="165">
        <f t="shared" si="46"/>
        <v>0</v>
      </c>
      <c r="V57" s="165">
        <f t="shared" si="46"/>
        <v>0</v>
      </c>
      <c r="W57" s="165">
        <f t="shared" si="46"/>
        <v>0</v>
      </c>
      <c r="X57" s="165">
        <f t="shared" si="46"/>
        <v>0</v>
      </c>
      <c r="Y57" s="165">
        <f t="shared" si="46"/>
        <v>0</v>
      </c>
      <c r="Z57" s="165">
        <f t="shared" si="46"/>
        <v>0</v>
      </c>
      <c r="AA57" s="165">
        <f t="shared" si="46"/>
        <v>0</v>
      </c>
      <c r="AB57" s="165">
        <f t="shared" si="46"/>
        <v>0</v>
      </c>
      <c r="AC57" s="165">
        <f t="shared" si="46"/>
        <v>0</v>
      </c>
      <c r="AD57" s="165">
        <f t="shared" si="46"/>
        <v>0</v>
      </c>
      <c r="AE57" s="165">
        <f t="shared" si="46"/>
        <v>0</v>
      </c>
      <c r="AF57" s="165">
        <f t="shared" si="46"/>
        <v>0</v>
      </c>
      <c r="AG57" s="165">
        <f t="shared" si="46"/>
        <v>0</v>
      </c>
      <c r="AH57" s="165">
        <f t="shared" si="46"/>
        <v>0</v>
      </c>
      <c r="AI57" s="165">
        <f t="shared" si="46"/>
        <v>0</v>
      </c>
      <c r="AJ57" s="165">
        <f t="shared" si="46"/>
        <v>0</v>
      </c>
      <c r="AK57" s="165">
        <f t="shared" si="46"/>
        <v>0</v>
      </c>
      <c r="AL57" s="165">
        <f t="shared" si="46"/>
        <v>0</v>
      </c>
      <c r="AM57" s="165">
        <f t="shared" si="46"/>
        <v>0</v>
      </c>
      <c r="AN57" s="165">
        <f t="shared" si="46"/>
        <v>0</v>
      </c>
      <c r="AO57" s="165">
        <f t="shared" si="46"/>
        <v>0</v>
      </c>
      <c r="AP57" s="165">
        <f t="shared" si="46"/>
        <v>0</v>
      </c>
      <c r="AQ57" s="165">
        <f t="shared" si="46"/>
        <v>0</v>
      </c>
    </row>
    <row r="58" spans="1:44" ht="15" customHeight="1" x14ac:dyDescent="0.3">
      <c r="A58" s="431"/>
      <c r="B58" s="125" t="s">
        <v>212</v>
      </c>
      <c r="D58" s="166">
        <v>1</v>
      </c>
      <c r="E58" s="167"/>
      <c r="F58" s="168"/>
      <c r="G58" s="168"/>
      <c r="H58" s="169">
        <f>$D58*E48</f>
        <v>5223756</v>
      </c>
      <c r="I58" s="169">
        <f>$D58*F48</f>
        <v>7361286</v>
      </c>
      <c r="J58" s="169">
        <f>$D58*G48</f>
        <v>11204864</v>
      </c>
      <c r="K58" s="169">
        <f>$D58*H48</f>
        <v>6484110</v>
      </c>
      <c r="L58" s="142">
        <f t="shared" ref="L58:AQ58" si="47">$D58*I49</f>
        <v>5281276.5701110484</v>
      </c>
      <c r="M58" s="142">
        <f t="shared" si="47"/>
        <v>5828688.5777825294</v>
      </c>
      <c r="N58" s="142">
        <f t="shared" si="47"/>
        <v>5967202.816525925</v>
      </c>
      <c r="O58" s="142">
        <f t="shared" si="47"/>
        <v>6223195.8173548868</v>
      </c>
      <c r="P58" s="142">
        <f t="shared" si="47"/>
        <v>6439238.1989020351</v>
      </c>
      <c r="Q58" s="142">
        <f t="shared" si="47"/>
        <v>6662363.7849717112</v>
      </c>
      <c r="R58" s="142">
        <f t="shared" si="47"/>
        <v>6892782.7079525236</v>
      </c>
      <c r="S58" s="142">
        <f t="shared" si="47"/>
        <v>7130710.0935915913</v>
      </c>
      <c r="T58" s="142">
        <f t="shared" si="47"/>
        <v>7376366.1026949463</v>
      </c>
      <c r="U58" s="142">
        <f t="shared" si="47"/>
        <v>7629975.9672160223</v>
      </c>
      <c r="V58" s="142">
        <f t="shared" si="47"/>
        <v>7891770.0201739473</v>
      </c>
      <c r="W58" s="142">
        <f t="shared" si="47"/>
        <v>8161983.7188058374</v>
      </c>
      <c r="X58" s="142">
        <f t="shared" si="47"/>
        <v>8440857.6603175141</v>
      </c>
      <c r="Y58" s="142">
        <f t="shared" si="47"/>
        <v>8728637.5895549674</v>
      </c>
      <c r="Z58" s="142">
        <f t="shared" si="47"/>
        <v>9025574.3978743684</v>
      </c>
      <c r="AA58" s="142">
        <f t="shared" si="47"/>
        <v>9331924.1124413814</v>
      </c>
      <c r="AB58" s="142">
        <f t="shared" si="47"/>
        <v>9647947.8751406521</v>
      </c>
      <c r="AC58" s="142">
        <f t="shared" si="47"/>
        <v>9973911.9102237411</v>
      </c>
      <c r="AD58" s="142">
        <f t="shared" si="47"/>
        <v>10310087.479768073</v>
      </c>
      <c r="AE58" s="142">
        <f t="shared" si="47"/>
        <v>10656750.825960612</v>
      </c>
      <c r="AF58" s="142">
        <f t="shared" si="47"/>
        <v>11014183.099157833</v>
      </c>
      <c r="AG58" s="142">
        <f t="shared" si="47"/>
        <v>11382670.270607768</v>
      </c>
      <c r="AH58" s="142">
        <f t="shared" si="47"/>
        <v>11762503.028650586</v>
      </c>
      <c r="AI58" s="142">
        <f t="shared" si="47"/>
        <v>12153976.65714075</v>
      </c>
      <c r="AJ58" s="142">
        <f t="shared" si="47"/>
        <v>12557390.894756408</v>
      </c>
      <c r="AK58" s="142">
        <f t="shared" si="47"/>
        <v>12973049.773779923</v>
      </c>
      <c r="AL58" s="142">
        <f t="shared" si="47"/>
        <v>13401261.436847039</v>
      </c>
      <c r="AM58" s="142">
        <f t="shared" si="47"/>
        <v>11993445.275214944</v>
      </c>
      <c r="AN58" s="142">
        <f t="shared" si="47"/>
        <v>12368384.821103383</v>
      </c>
      <c r="AO58" s="142">
        <f t="shared" si="47"/>
        <v>12753421.323410032</v>
      </c>
      <c r="AP58" s="142">
        <f t="shared" si="47"/>
        <v>13148731.058506051</v>
      </c>
      <c r="AQ58" s="142">
        <f t="shared" si="47"/>
        <v>13554486.844735488</v>
      </c>
    </row>
    <row r="59" spans="1:44" x14ac:dyDescent="0.3">
      <c r="A59" s="193"/>
      <c r="B59" s="153"/>
      <c r="C59" s="95"/>
      <c r="D59" s="154"/>
      <c r="E59" s="155"/>
      <c r="F59" s="156"/>
      <c r="G59" s="156"/>
      <c r="H59" s="156"/>
      <c r="I59" s="156"/>
      <c r="J59" s="156"/>
      <c r="K59" s="156"/>
      <c r="L59" s="156"/>
      <c r="M59" s="156"/>
      <c r="N59" s="156"/>
      <c r="O59" s="156"/>
      <c r="P59" s="156"/>
      <c r="Q59" s="156"/>
      <c r="R59" s="156"/>
      <c r="S59" s="156"/>
      <c r="T59" s="156"/>
      <c r="U59" s="156"/>
      <c r="V59" s="156"/>
      <c r="W59" s="156"/>
      <c r="X59" s="156"/>
      <c r="Y59" s="156"/>
      <c r="Z59" s="156"/>
      <c r="AA59" s="156"/>
      <c r="AB59" s="156"/>
      <c r="AC59" s="156"/>
      <c r="AD59" s="156"/>
      <c r="AE59" s="156"/>
      <c r="AF59" s="156"/>
      <c r="AG59" s="156"/>
      <c r="AH59" s="156"/>
      <c r="AI59" s="156"/>
      <c r="AJ59" s="156"/>
      <c r="AK59" s="156"/>
      <c r="AL59" s="156"/>
      <c r="AM59" s="156"/>
      <c r="AN59" s="156"/>
      <c r="AO59" s="156"/>
      <c r="AP59" s="156"/>
      <c r="AQ59" s="156"/>
    </row>
    <row r="60" spans="1:44" x14ac:dyDescent="0.3">
      <c r="A60" s="430" t="s">
        <v>244</v>
      </c>
      <c r="B60" s="170"/>
      <c r="C60" s="170"/>
      <c r="D60" s="171" t="s">
        <v>245</v>
      </c>
      <c r="E60" s="172"/>
      <c r="F60" s="160"/>
      <c r="G60" s="160"/>
      <c r="H60" s="160">
        <f>((H52+(SUM(H55:H58)*0.5))-((H42+H13)*0.5))*'Tab 6 - Financial Model'!E26</f>
        <v>2982872.0493000001</v>
      </c>
      <c r="I60" s="160">
        <f>((I52+(SUM(I56:I58)*0.5))-((I42+I13)*0.5))*'Tab 6 - Financial Model'!E26</f>
        <v>2418360.2392649702</v>
      </c>
      <c r="J60" s="160">
        <f>((J52+(SUM(J57:J58)*0.5))-((J42+J13)*0.5))*'Tab 6 - Financial Model'!E26</f>
        <v>2078840.1471794371</v>
      </c>
      <c r="K60" s="160">
        <f>((K52+(SUM(K58)*0.5))-((K42+K13)*0.5))*'Tab 6 - Financial Model'!E26</f>
        <v>2069530.145643435</v>
      </c>
      <c r="L60" s="160">
        <f>(L52-((L42+L13)*0.5))*'Tab 6 - Financial Model'!$E$26</f>
        <v>2149919.6626626761</v>
      </c>
      <c r="M60" s="160">
        <f>(M52-((M42+M13)*0.5))*'Tab 6 - Financial Model'!$E$26</f>
        <v>2223633.2969120429</v>
      </c>
      <c r="N60" s="160">
        <f>(N52-((N42+N13)*0.5))*'Tab 6 - Financial Model'!$E$26</f>
        <v>2319027.1653495692</v>
      </c>
      <c r="O60" s="160">
        <f>(O52-((O42+O13)*0.5))*'Tab 6 - Financial Model'!$E$26</f>
        <v>1931481.987417279</v>
      </c>
      <c r="P60" s="160">
        <f>(P52-((P42+P13)*0.5))*'Tab 6 - Financial Model'!$E$26</f>
        <v>959892.13380115165</v>
      </c>
      <c r="Q60" s="160">
        <f>(Q52-((Q42+Q13)*0.5))*'Tab 6 - Financial Model'!$E$26</f>
        <v>433652.51879067958</v>
      </c>
      <c r="R60" s="160">
        <f>(R52-((R42+R13)*0.5))*'Tab 6 - Financial Model'!$E$26</f>
        <v>436019.2049388148</v>
      </c>
      <c r="S60" s="160">
        <f>(S52-((S42+S13)*0.5))*'Tab 6 - Financial Model'!$E$26</f>
        <v>438487.4219227049</v>
      </c>
      <c r="T60" s="160">
        <f>(T52-((T42+T13)*0.5))*'Tab 6 - Financial Model'!$E$26</f>
        <v>457298.53232318896</v>
      </c>
      <c r="U60" s="160">
        <f>(U52-((U42+U13)*0.5))*'Tab 6 - Financial Model'!$E$26</f>
        <v>476916.63935985375</v>
      </c>
      <c r="V60" s="160">
        <f>(V52-((V42+V13)*0.5))*'Tab 6 - Financial Model'!$E$26</f>
        <v>342240.48109107849</v>
      </c>
      <c r="W60" s="160">
        <f>(W52-((W42+W13)*0.5))*'Tab 6 - Financial Model'!$E$26</f>
        <v>201786.71563257271</v>
      </c>
      <c r="X60" s="160">
        <f>(X52-((X42+X13)*0.5))*'Tab 6 - Financial Model'!$E$26</f>
        <v>210443.36573321008</v>
      </c>
      <c r="Y60" s="160">
        <f>(Y52-((Y42+Y13)*0.5))*'Tab 6 - Financial Model'!$E$26</f>
        <v>171007.9606504032</v>
      </c>
      <c r="Z60" s="160">
        <f>(Z52-((Z42+Z13)*0.5))*'Tab 6 - Financial Model'!$E$26</f>
        <v>129880.77668954387</v>
      </c>
      <c r="AA60" s="160">
        <f>(AA52-((AA42+AA13)*0.5))*'Tab 6 - Financial Model'!$E$26</f>
        <v>135452.66200952532</v>
      </c>
      <c r="AB60" s="160">
        <f>(AB52-((AB42+AB13)*0.5))*'Tab 6 - Financial Model'!$E$26</f>
        <v>133569.72992461984</v>
      </c>
      <c r="AC60" s="160">
        <f>(AC52-((AC42+AC13)*0.5))*'Tab 6 - Financial Model'!$E$26</f>
        <v>131606.0200532719</v>
      </c>
      <c r="AD60" s="160">
        <f>(AD52-((AD42+AD13)*0.5))*'Tab 6 - Financial Model'!$E$26</f>
        <v>85864.177907463425</v>
      </c>
      <c r="AE60" s="160">
        <f>(AE52-((AE42+AE13)*0.5))*'Tab 6 - Financial Model'!$E$26</f>
        <v>38160.010733599745</v>
      </c>
      <c r="AF60" s="160">
        <f>(AF52-((AF42+AF13)*0.5))*'Tab 6 - Financial Model'!$E$26</f>
        <v>39797.075194071178</v>
      </c>
      <c r="AG60" s="160">
        <f>(AG52-((AG42+AG13)*0.5))*'Tab 6 - Financial Model'!$E$26</f>
        <v>32331.117789429518</v>
      </c>
      <c r="AH60" s="160">
        <f>(AH52-((AH42+AH13)*0.5))*'Tab 6 - Financial Model'!$E$26</f>
        <v>24544.870812128731</v>
      </c>
      <c r="AI60" s="160">
        <f>(AI52-((AI42+AI13)*0.5))*'Tab 6 - Financial Model'!$E$26</f>
        <v>25597.845769969055</v>
      </c>
      <c r="AJ60" s="160">
        <f>(AJ52-((AJ42+AJ13)*0.5))*'Tab 6 - Financial Model'!$E$26</f>
        <v>26695.993353500729</v>
      </c>
      <c r="AK60" s="160">
        <f>(AK52-((AK42+AK13)*0.5))*'Tab 6 - Financial Model'!$E$26</f>
        <v>27841.25146836591</v>
      </c>
      <c r="AL60" s="160">
        <f>(AL52-(AL52*0.5))*'Tab 6 - Financial Model'!$E$26</f>
        <v>14517.820578179402</v>
      </c>
      <c r="AM60" s="160">
        <f>(AM52-((AM42+AM13)*0.5))*'Tab 6 - Financial Model'!$E$26</f>
        <v>0</v>
      </c>
      <c r="AN60" s="160">
        <f>(AN52-((AN42+AN13)*0.5))*'Tab 6 - Financial Model'!$E$26</f>
        <v>0</v>
      </c>
      <c r="AO60" s="160">
        <f>(AO52-((AO42+AO13)*0.5))*'Tab 6 - Financial Model'!$E$26</f>
        <v>0</v>
      </c>
      <c r="AP60" s="160">
        <f>(AP52-((AP42+AP13)*0.5))*'Tab 6 - Financial Model'!$E$26</f>
        <v>0</v>
      </c>
      <c r="AQ60" s="160">
        <f>(AQ52-((AQ42+AQ13)*0.5))*'Tab 6 - Financial Model'!$E$26</f>
        <v>0</v>
      </c>
    </row>
    <row r="61" spans="1:44" x14ac:dyDescent="0.3">
      <c r="A61" s="431"/>
      <c r="B61" s="139"/>
      <c r="C61" s="139"/>
      <c r="D61" s="140" t="s">
        <v>246</v>
      </c>
      <c r="E61" s="173"/>
      <c r="F61" s="174"/>
      <c r="G61" s="174"/>
      <c r="H61" s="142">
        <f>(H53-(H40*0.5))*'Tab 6 - Financial Model'!E26</f>
        <v>0</v>
      </c>
      <c r="I61" s="142">
        <f>((I53+(SUM(I55)*0.5))-(I40*0.5))*'Tab 6 - Financial Model'!E26</f>
        <v>0</v>
      </c>
      <c r="J61" s="142">
        <f>((J53+(SUM(J55:J56)*0.5))-(J40*0.5))*'Tab 6 - Financial Model'!E26</f>
        <v>0</v>
      </c>
      <c r="K61" s="142">
        <f>((K53+(SUM(K55:K57)*0.5))-(K40*0.5))*'Tab 6 - Financial Model'!E26</f>
        <v>0</v>
      </c>
      <c r="L61" s="142">
        <f>((L53+(SUM(L55:L58)*0.5))-(L40*0.5))*'Tab 6 - Financial Model'!$E$26</f>
        <v>113283.38242888199</v>
      </c>
      <c r="M61" s="142">
        <f>((M53+(SUM(M55:M58)*0.5))-(M40*0.5))*'Tab 6 - Financial Model'!$E$26</f>
        <v>356451.99195739831</v>
      </c>
      <c r="N61" s="142">
        <f>((N53+(SUM(N55:N58)*0.5))-(N40*0.5))*'Tab 6 - Financial Model'!$E$26</f>
        <v>624765.65282028692</v>
      </c>
      <c r="O61" s="142">
        <f>((O53+(SUM(O55:O58)*0.5))-(O40*0.5))*'Tab 6 - Financial Model'!$E$26</f>
        <v>913052.15002302057</v>
      </c>
      <c r="P61" s="142">
        <f>((P53+(SUM(P55:P58)*0.5))-(P40*0.5))*'Tab 6 - Financial Model'!$E$26</f>
        <v>486740.81646077213</v>
      </c>
      <c r="Q61" s="142">
        <f>((Q53+(SUM(Q55:Q58)*0.5))-(Q40*0.5))*'Tab 6 - Financial Model'!$E$26</f>
        <v>51560.879594084348</v>
      </c>
      <c r="R61" s="142">
        <f>((R53+(SUM(R55:R58)*0.5))-(R40*0.5))*'Tab 6 - Financial Model'!$E$26</f>
        <v>-180465.82308961742</v>
      </c>
      <c r="S61" s="142">
        <f>((S53+(SUM(S55:S58)*0.5))-(S40*0.5))*'Tab 6 - Financial Model'!$E$26</f>
        <v>-412400.44299855363</v>
      </c>
      <c r="T61" s="142">
        <f>((T53+(SUM(T55:T58)*0.5))-(T40*0.5))*'Tab 6 - Financial Model'!$E$26</f>
        <v>-118915.63759284535</v>
      </c>
      <c r="U61" s="142">
        <f>((U53+(SUM(U55:U58)*0.5))-(U40*0.5))*'Tab 6 - Financial Model'!$E$26</f>
        <v>197868.91895401184</v>
      </c>
      <c r="V61" s="142">
        <f>((V53+(SUM(V55:V58)*0.5))-(V40*0.5))*'Tab 6 - Financial Model'!$E$26</f>
        <v>-81244.581382598408</v>
      </c>
      <c r="W61" s="142">
        <f>((W53+(SUM(W55:W58)*0.5))-(W40*0.5))*'Tab 6 - Financial Model'!$E$26</f>
        <v>-360920.48461204779</v>
      </c>
      <c r="X61" s="142">
        <f>((X53+(SUM(X55:X58)*0.5))-(X40*0.5))*'Tab 6 - Financial Model'!$E$26</f>
        <v>-20273.02581970875</v>
      </c>
      <c r="Y61" s="142">
        <f>((Y53+(SUM(Y55:Y58)*0.5))-(Y40*0.5))*'Tab 6 - Financial Model'!$E$26</f>
        <v>-296728.28965572827</v>
      </c>
      <c r="Z61" s="142">
        <f>((Z53+(SUM(Z55:Z58)*0.5))-(Z40*0.5))*'Tab 6 - Financial Model'!$E$26</f>
        <v>-572501.31028971856</v>
      </c>
      <c r="AA61" s="142">
        <f>((AA53+(SUM(AA55:AA58)*0.5))-(AA40*0.5))*'Tab 6 - Financial Model'!$E$26</f>
        <v>-203293.27345487464</v>
      </c>
      <c r="AB61" s="142">
        <f>((AB53+(SUM(AB55:AB58)*0.5))-(AB40*0.5))*'Tab 6 - Financial Model'!$E$26</f>
        <v>-566587.57797874638</v>
      </c>
      <c r="AC61" s="142">
        <f>((AC53+(SUM(AC55:AC58)*0.5))-(AC40*0.5))*'Tab 6 - Financial Model'!$E$26</f>
        <v>-931696.5699042608</v>
      </c>
      <c r="AD61" s="142">
        <f>((AD53+(SUM(AD55:AD58)*0.5))-(AD40*0.5))*'Tab 6 - Financial Model'!$E$26</f>
        <v>-1512941.6335536125</v>
      </c>
      <c r="AE61" s="142">
        <f>((AE53+(SUM(AE55:AE58)*0.5))-(AE40*0.5))*'Tab 6 - Financial Model'!$E$26</f>
        <v>-2104475.2156909658</v>
      </c>
      <c r="AF61" s="142">
        <f>((AF53+(SUM(AF55:AF58)*0.5))-(AF40*0.5))*'Tab 6 - Financial Model'!$E$26</f>
        <v>-1729915.669750317</v>
      </c>
      <c r="AG61" s="142">
        <f>((AG53+(SUM(AG55:AG58)*0.5))-(AG40*0.5))*'Tab 6 - Financial Model'!$E$26</f>
        <v>-2231868.48831739</v>
      </c>
      <c r="AH61" s="142">
        <f>((AH53+(SUM(AH55:AH58)*0.5))-(AH40*0.5))*'Tab 6 - Financial Model'!$E$26</f>
        <v>-2739303.6203133706</v>
      </c>
      <c r="AI61" s="142">
        <f>((AI53+(SUM(AI55:AI58)*0.5))-(AI40*0.5))*'Tab 6 - Financial Model'!$E$26</f>
        <v>-2343811.25636459</v>
      </c>
      <c r="AJ61" s="142">
        <f>((AJ53+(SUM(AJ55:AJ58)*0.5))-(AJ40*0.5))*'Tab 6 - Financial Model'!$E$26</f>
        <v>-1914301.9252744366</v>
      </c>
      <c r="AK61" s="142">
        <f>((AK53+(SUM(AK55:AK58)*0.5))-(AK40*0.5))*'Tab 6 - Financial Model'!$E$26</f>
        <v>-1448797.5255286058</v>
      </c>
      <c r="AL61" s="142">
        <f>((AL53+(SUM(AL55:AL58)*0.5))-(AL40*0.5))*'Tab 6 - Financial Model'!$E$26</f>
        <v>-1809254.1996559303</v>
      </c>
      <c r="AM61" s="142">
        <f>((AM53+(SUM(AM55:AM58)*0.5))-(AM40*0.5))*'Tab 6 - Financial Model'!$E$26</f>
        <v>-2206186.9815975358</v>
      </c>
      <c r="AN61" s="142">
        <f>((AN53+(SUM(AN55:AN58)*0.5))-(AN40*0.5))*'Tab 6 - Financial Model'!$E$26</f>
        <v>-1778271.147542042</v>
      </c>
      <c r="AO61" s="142">
        <f>((AO53+(SUM(AO55:AO58)*0.5))-(AO40*0.5))*'Tab 6 - Financial Model'!$E$26</f>
        <v>-1315696.2379717827</v>
      </c>
      <c r="AP61" s="142">
        <f>((AP53+(SUM(AP55:AP58)*0.5))-(AP40*0.5))*'Tab 6 - Financial Model'!$E$26</f>
        <v>-816538.43798867206</v>
      </c>
      <c r="AQ61" s="142">
        <f>((AQ53+(SUM(AQ55:AQ58)*0.5))-(AQ40*0.5))*'Tab 6 - Financial Model'!$E$26</f>
        <v>-278783.912953855</v>
      </c>
    </row>
    <row r="62" spans="1:44" x14ac:dyDescent="0.3">
      <c r="A62" s="193"/>
      <c r="B62" s="95"/>
      <c r="C62" s="95"/>
      <c r="D62" s="95"/>
      <c r="E62" s="175"/>
      <c r="F62" s="176"/>
      <c r="G62" s="176"/>
      <c r="H62" s="176"/>
      <c r="I62" s="176"/>
      <c r="J62" s="176"/>
      <c r="K62" s="176"/>
      <c r="L62" s="176"/>
      <c r="M62" s="176"/>
      <c r="N62" s="176"/>
      <c r="O62" s="176"/>
      <c r="P62" s="176"/>
      <c r="Q62" s="176"/>
      <c r="R62" s="176"/>
      <c r="S62" s="176"/>
      <c r="T62" s="176"/>
      <c r="U62" s="176"/>
      <c r="V62" s="176"/>
      <c r="W62" s="176"/>
      <c r="X62" s="176"/>
      <c r="Y62" s="176"/>
      <c r="Z62" s="176"/>
      <c r="AA62" s="176"/>
      <c r="AB62" s="176"/>
      <c r="AC62" s="176"/>
      <c r="AD62" s="176"/>
      <c r="AE62" s="176"/>
      <c r="AF62" s="176"/>
      <c r="AG62" s="176"/>
      <c r="AH62" s="176"/>
      <c r="AI62" s="176"/>
      <c r="AJ62" s="176"/>
      <c r="AK62" s="176"/>
      <c r="AL62" s="176"/>
      <c r="AM62" s="176"/>
      <c r="AN62" s="176"/>
      <c r="AO62" s="176"/>
      <c r="AP62" s="176"/>
      <c r="AQ62" s="176"/>
      <c r="AR62" s="177"/>
    </row>
    <row r="63" spans="1:44" x14ac:dyDescent="0.3">
      <c r="A63" s="430" t="s">
        <v>247</v>
      </c>
      <c r="B63" s="178"/>
      <c r="C63" s="178"/>
      <c r="D63" s="179" t="s">
        <v>248</v>
      </c>
      <c r="E63" s="180"/>
      <c r="F63" s="181"/>
      <c r="G63" s="182">
        <v>77871752</v>
      </c>
      <c r="H63" s="182">
        <f>H52+SUM(H55:H60)-H42-H13</f>
        <v>64172754.0493</v>
      </c>
      <c r="I63" s="182">
        <f>I52+SUM(I56:I60)-I42-I13</f>
        <v>50989673.288564965</v>
      </c>
      <c r="J63" s="182">
        <f>J52+SUM(J57:J60)-J42-J13</f>
        <v>48004791.435744405</v>
      </c>
      <c r="K63" s="182">
        <f>K52+SUM(K58:K60)-K42-K13</f>
        <v>50546330.58138784</v>
      </c>
      <c r="L63" s="182">
        <f t="shared" ref="L63:AQ63" si="48">IF(L52-L42-L13&gt;0,L52+L60-L42-L13,0)</f>
        <v>51832943.983963698</v>
      </c>
      <c r="M63" s="182">
        <f t="shared" si="48"/>
        <v>54056577.280875742</v>
      </c>
      <c r="N63" s="182">
        <f t="shared" si="48"/>
        <v>56375604.446225315</v>
      </c>
      <c r="O63" s="182">
        <f t="shared" si="48"/>
        <v>35601657.840365812</v>
      </c>
      <c r="P63" s="182">
        <f t="shared" si="48"/>
        <v>10108450.321461063</v>
      </c>
      <c r="Q63" s="182">
        <f t="shared" si="48"/>
        <v>10542102.840251742</v>
      </c>
      <c r="R63" s="182">
        <f t="shared" si="48"/>
        <v>10221152.026170278</v>
      </c>
      <c r="S63" s="182">
        <f t="shared" si="48"/>
        <v>10659639.448092982</v>
      </c>
      <c r="T63" s="182">
        <f t="shared" si="48"/>
        <v>11116937.980416171</v>
      </c>
      <c r="U63" s="182">
        <f t="shared" si="48"/>
        <v>11593854.619776025</v>
      </c>
      <c r="V63" s="182">
        <f t="shared" si="48"/>
        <v>4703653.0450483151</v>
      </c>
      <c r="W63" s="182">
        <f t="shared" si="48"/>
        <v>4905439.7606808878</v>
      </c>
      <c r="X63" s="182">
        <f t="shared" si="48"/>
        <v>5115883.1264140978</v>
      </c>
      <c r="Y63" s="182">
        <f t="shared" si="48"/>
        <v>3027523.9321571998</v>
      </c>
      <c r="Z63" s="182">
        <f t="shared" si="48"/>
        <v>3157404.7088467437</v>
      </c>
      <c r="AA63" s="182">
        <f t="shared" si="48"/>
        <v>3292857.3708562688</v>
      </c>
      <c r="AB63" s="182">
        <f t="shared" si="48"/>
        <v>3067739.3951811632</v>
      </c>
      <c r="AC63" s="182">
        <f t="shared" si="48"/>
        <v>3199345.4152344353</v>
      </c>
      <c r="AD63" s="182">
        <f t="shared" si="48"/>
        <v>889510.73971094983</v>
      </c>
      <c r="AE63" s="182">
        <f t="shared" si="48"/>
        <v>927670.7504445496</v>
      </c>
      <c r="AF63" s="182">
        <f t="shared" si="48"/>
        <v>967467.82563862076</v>
      </c>
      <c r="AG63" s="182">
        <f t="shared" si="48"/>
        <v>572141.5107722315</v>
      </c>
      <c r="AH63" s="182">
        <f t="shared" si="48"/>
        <v>596686.38158436026</v>
      </c>
      <c r="AI63" s="182">
        <f t="shared" si="48"/>
        <v>622284.22735432931</v>
      </c>
      <c r="AJ63" s="182">
        <f t="shared" si="48"/>
        <v>648980.22070783004</v>
      </c>
      <c r="AK63" s="182">
        <f t="shared" si="48"/>
        <v>676821.47217619594</v>
      </c>
      <c r="AL63" s="182">
        <f t="shared" si="48"/>
        <v>0</v>
      </c>
      <c r="AM63" s="182">
        <f t="shared" si="48"/>
        <v>0</v>
      </c>
      <c r="AN63" s="182">
        <f t="shared" si="48"/>
        <v>0</v>
      </c>
      <c r="AO63" s="182">
        <f t="shared" si="48"/>
        <v>0</v>
      </c>
      <c r="AP63" s="182">
        <f t="shared" si="48"/>
        <v>0</v>
      </c>
      <c r="AQ63" s="182">
        <f t="shared" si="48"/>
        <v>0</v>
      </c>
    </row>
    <row r="64" spans="1:44" x14ac:dyDescent="0.3">
      <c r="A64" s="431"/>
      <c r="B64" s="183"/>
      <c r="C64" s="183"/>
      <c r="D64" s="184" t="s">
        <v>249</v>
      </c>
      <c r="E64" s="185"/>
      <c r="F64" s="186"/>
      <c r="G64" s="186"/>
      <c r="H64" s="187">
        <f>SUM(H53:H57,H61)-H40</f>
        <v>0</v>
      </c>
      <c r="I64" s="187">
        <f>SUM(I53:I57,I61)-I40</f>
        <v>0</v>
      </c>
      <c r="J64" s="187">
        <f>SUM(J53:J57,J61)-J40</f>
        <v>0</v>
      </c>
      <c r="K64" s="187">
        <f>SUM(K53:K57,K61)-K40</f>
        <v>0</v>
      </c>
      <c r="L64" s="187">
        <f t="shared" ref="L64:AQ64" si="49">SUM(L53:L58,L61)-L40</f>
        <v>5394559.9525399301</v>
      </c>
      <c r="M64" s="187">
        <f t="shared" si="49"/>
        <v>11579700.522279857</v>
      </c>
      <c r="N64" s="187">
        <f t="shared" si="49"/>
        <v>18171668.991626065</v>
      </c>
      <c r="O64" s="187">
        <f t="shared" si="49"/>
        <v>25307916.959003974</v>
      </c>
      <c r="P64" s="187">
        <f t="shared" si="49"/>
        <v>-2129296.5872624442</v>
      </c>
      <c r="Q64" s="187">
        <f t="shared" si="49"/>
        <v>4584628.0773033518</v>
      </c>
      <c r="R64" s="187">
        <f t="shared" si="49"/>
        <v>-13178418.98615602</v>
      </c>
      <c r="S64" s="187">
        <f t="shared" si="49"/>
        <v>-6460109.3355629826</v>
      </c>
      <c r="T64" s="187">
        <f t="shared" si="49"/>
        <v>797341.12953911838</v>
      </c>
      <c r="U64" s="187">
        <f t="shared" si="49"/>
        <v>8625186.0157091524</v>
      </c>
      <c r="V64" s="187">
        <f t="shared" si="49"/>
        <v>-12494056.768774662</v>
      </c>
      <c r="W64" s="187">
        <f t="shared" si="49"/>
        <v>-4692993.5345808724</v>
      </c>
      <c r="X64" s="187">
        <f t="shared" si="49"/>
        <v>3727591.0999169331</v>
      </c>
      <c r="Y64" s="187">
        <f t="shared" si="49"/>
        <v>-17857806.086809412</v>
      </c>
      <c r="Z64" s="187">
        <f t="shared" si="49"/>
        <v>-9404732.9992247615</v>
      </c>
      <c r="AA64" s="187">
        <f t="shared" si="49"/>
        <v>-276102.1602382547</v>
      </c>
      <c r="AB64" s="187">
        <f t="shared" si="49"/>
        <v>-26704824.71744895</v>
      </c>
      <c r="AC64" s="187">
        <f t="shared" si="49"/>
        <v>-17662609.377129469</v>
      </c>
      <c r="AD64" s="187">
        <f t="shared" si="49"/>
        <v>-54383741.746103048</v>
      </c>
      <c r="AE64" s="187">
        <f t="shared" si="49"/>
        <v>-45831466.135833398</v>
      </c>
      <c r="AF64" s="187">
        <f t="shared" si="49"/>
        <v>-36547198.706425883</v>
      </c>
      <c r="AG64" s="187">
        <f t="shared" si="49"/>
        <v>-69734482.757061198</v>
      </c>
      <c r="AH64" s="187">
        <f t="shared" si="49"/>
        <v>-60711283.348723985</v>
      </c>
      <c r="AI64" s="187">
        <f t="shared" si="49"/>
        <v>-50901117.947947823</v>
      </c>
      <c r="AJ64" s="187">
        <f t="shared" si="49"/>
        <v>-40258028.978465855</v>
      </c>
      <c r="AK64" s="187">
        <f t="shared" si="49"/>
        <v>-28733776.73021454</v>
      </c>
      <c r="AL64" s="187">
        <f t="shared" si="49"/>
        <v>-57422992.604915999</v>
      </c>
      <c r="AM64" s="187">
        <f t="shared" si="49"/>
        <v>-47635734.311298586</v>
      </c>
      <c r="AN64" s="187">
        <f t="shared" si="49"/>
        <v>-37045620.637737244</v>
      </c>
      <c r="AO64" s="187">
        <f t="shared" si="49"/>
        <v>-25607895.552298993</v>
      </c>
      <c r="AP64" s="187">
        <f t="shared" si="49"/>
        <v>-13275702.931781614</v>
      </c>
      <c r="AQ64" s="187">
        <f t="shared" si="49"/>
        <v>1.909211277961731E-8</v>
      </c>
    </row>
    <row r="65" spans="1:1" x14ac:dyDescent="0.3">
      <c r="A65" s="188"/>
    </row>
    <row r="66" spans="1:1" x14ac:dyDescent="0.3">
      <c r="A66" s="188"/>
    </row>
    <row r="67" spans="1:1" x14ac:dyDescent="0.3">
      <c r="A67" s="188"/>
    </row>
  </sheetData>
  <mergeCells count="8">
    <mergeCell ref="A60:A61"/>
    <mergeCell ref="A63:A64"/>
    <mergeCell ref="A3:B5"/>
    <mergeCell ref="A6:B6"/>
    <mergeCell ref="A7:B7"/>
    <mergeCell ref="A46:A49"/>
    <mergeCell ref="A52:A53"/>
    <mergeCell ref="A55:A58"/>
  </mergeCells>
  <pageMargins left="0.7" right="0.7" top="0.75" bottom="0.75" header="0.3" footer="0.3"/>
  <pageSetup paperSize="5" scale="2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EADB5-69D0-4534-883E-582049D1492B}">
  <sheetPr codeName="Sheet2"/>
  <dimension ref="A3:B24"/>
  <sheetViews>
    <sheetView workbookViewId="0">
      <selection activeCell="B26" sqref="B26"/>
    </sheetView>
  </sheetViews>
  <sheetFormatPr defaultRowHeight="14.5" x14ac:dyDescent="0.35"/>
  <cols>
    <col min="1" max="1" width="13.81640625" customWidth="1"/>
    <col min="2" max="2" width="145.81640625" bestFit="1" customWidth="1"/>
  </cols>
  <sheetData>
    <row r="3" spans="1:2" x14ac:dyDescent="0.35">
      <c r="A3" s="441" t="s">
        <v>31</v>
      </c>
      <c r="B3" s="442"/>
    </row>
    <row r="4" spans="1:2" ht="29" x14ac:dyDescent="0.35">
      <c r="A4" s="19" t="s">
        <v>32</v>
      </c>
      <c r="B4" s="21" t="s">
        <v>250</v>
      </c>
    </row>
    <row r="5" spans="1:2" ht="29" x14ac:dyDescent="0.35">
      <c r="A5" s="20" t="s">
        <v>34</v>
      </c>
      <c r="B5" s="22" t="s">
        <v>251</v>
      </c>
    </row>
    <row r="6" spans="1:2" x14ac:dyDescent="0.35">
      <c r="A6" s="20" t="s">
        <v>252</v>
      </c>
      <c r="B6" s="10" t="s">
        <v>253</v>
      </c>
    </row>
    <row r="7" spans="1:2" ht="29" x14ac:dyDescent="0.35">
      <c r="A7" s="20" t="s">
        <v>254</v>
      </c>
      <c r="B7" s="10" t="s">
        <v>255</v>
      </c>
    </row>
    <row r="8" spans="1:2" x14ac:dyDescent="0.35">
      <c r="A8" t="s">
        <v>256</v>
      </c>
      <c r="B8" s="10" t="s">
        <v>257</v>
      </c>
    </row>
    <row r="9" spans="1:2" ht="29" x14ac:dyDescent="0.35">
      <c r="A9" s="26" t="s">
        <v>258</v>
      </c>
      <c r="B9" s="27" t="s">
        <v>259</v>
      </c>
    </row>
    <row r="12" spans="1:2" x14ac:dyDescent="0.35">
      <c r="A12" s="441" t="s">
        <v>260</v>
      </c>
      <c r="B12" s="442"/>
    </row>
    <row r="13" spans="1:2" x14ac:dyDescent="0.35">
      <c r="A13" s="13" t="s">
        <v>261</v>
      </c>
      <c r="B13" s="13" t="s">
        <v>262</v>
      </c>
    </row>
    <row r="14" spans="1:2" x14ac:dyDescent="0.35">
      <c r="A14" s="13" t="s">
        <v>263</v>
      </c>
      <c r="B14" s="13" t="s">
        <v>264</v>
      </c>
    </row>
    <row r="15" spans="1:2" x14ac:dyDescent="0.35">
      <c r="A15" s="13" t="s">
        <v>265</v>
      </c>
      <c r="B15" s="13" t="s">
        <v>266</v>
      </c>
    </row>
    <row r="16" spans="1:2" x14ac:dyDescent="0.35">
      <c r="A16" s="13" t="s">
        <v>267</v>
      </c>
      <c r="B16" s="13" t="s">
        <v>268</v>
      </c>
    </row>
    <row r="17" spans="1:2" x14ac:dyDescent="0.35">
      <c r="A17" s="13" t="s">
        <v>269</v>
      </c>
      <c r="B17" s="13" t="s">
        <v>270</v>
      </c>
    </row>
    <row r="18" spans="1:2" x14ac:dyDescent="0.35">
      <c r="A18" s="13" t="s">
        <v>271</v>
      </c>
      <c r="B18" s="13" t="s">
        <v>272</v>
      </c>
    </row>
    <row r="19" spans="1:2" x14ac:dyDescent="0.35">
      <c r="A19" s="13" t="s">
        <v>273</v>
      </c>
      <c r="B19" s="13" t="s">
        <v>274</v>
      </c>
    </row>
    <row r="22" spans="1:2" x14ac:dyDescent="0.35">
      <c r="A22" s="441" t="s">
        <v>28</v>
      </c>
      <c r="B22" s="442" t="s">
        <v>29</v>
      </c>
    </row>
    <row r="23" spans="1:2" ht="33.65" customHeight="1" x14ac:dyDescent="0.35">
      <c r="A23" s="443" t="s">
        <v>275</v>
      </c>
      <c r="B23" s="444"/>
    </row>
    <row r="24" spans="1:2" ht="34" customHeight="1" x14ac:dyDescent="0.35">
      <c r="A24" s="439" t="s">
        <v>276</v>
      </c>
      <c r="B24" s="440"/>
    </row>
  </sheetData>
  <mergeCells count="5">
    <mergeCell ref="A24:B24"/>
    <mergeCell ref="A12:B12"/>
    <mergeCell ref="A3:B3"/>
    <mergeCell ref="A22:B22"/>
    <mergeCell ref="A23:B2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5AE1FFC98EB74286A4F6C25286592C" ma:contentTypeVersion="16" ma:contentTypeDescription="Create a new document." ma:contentTypeScope="" ma:versionID="f0d29d9c6508f4bb436612ed1a3bea1c">
  <xsd:schema xmlns:xsd="http://www.w3.org/2001/XMLSchema" xmlns:xs="http://www.w3.org/2001/XMLSchema" xmlns:p="http://schemas.microsoft.com/office/2006/metadata/properties" xmlns:ns2="2dfc16eb-708d-4ec9-8c01-531c9e227399" xmlns:ns3="857011bc-0a59-46e1-9004-ec215979dd0f" targetNamespace="http://schemas.microsoft.com/office/2006/metadata/properties" ma:root="true" ma:fieldsID="541e1aa713ccfb3245ab5772c056387b" ns2:_="" ns3:_="">
    <xsd:import namespace="2dfc16eb-708d-4ec9-8c01-531c9e227399"/>
    <xsd:import namespace="857011bc-0a59-46e1-9004-ec215979d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fc16eb-708d-4ec9-8c01-531c9e2273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41d824f-8fcb-403c-8eb0-24d834084a57"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7011bc-0a59-46e1-9004-ec215979dd0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effb4d3-17c7-4c14-b09e-642657e6681f}" ma:internalName="TaxCatchAll" ma:showField="CatchAllData" ma:web="857011bc-0a59-46e1-9004-ec215979dd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57011bc-0a59-46e1-9004-ec215979dd0f" xsi:nil="true"/>
    <lcf76f155ced4ddcb4097134ff3c332f xmlns="2dfc16eb-708d-4ec9-8c01-531c9e227399">
      <Terms xmlns="http://schemas.microsoft.com/office/infopath/2007/PartnerControls"/>
    </lcf76f155ced4ddcb4097134ff3c332f>
    <SharedWithUsers xmlns="857011bc-0a59-46e1-9004-ec215979dd0f">
      <UserInfo>
        <DisplayName>Ivanova, Natalia</DisplayName>
        <AccountId>96</AccountId>
        <AccountType/>
      </UserInfo>
      <UserInfo>
        <DisplayName>Spaens, Catherine</DisplayName>
        <AccountId>65</AccountId>
        <AccountType/>
      </UserInfo>
      <UserInfo>
        <DisplayName>Muhammad, Muhammad O.</DisplayName>
        <AccountId>156</AccountId>
        <AccountType/>
      </UserInfo>
      <UserInfo>
        <DisplayName>Pieterse, Jan-Steyn</DisplayName>
        <AccountId>112</AccountId>
        <AccountType/>
      </UserInfo>
      <UserInfo>
        <DisplayName>Cox, Shannon M.</DisplayName>
        <AccountId>155</AccountId>
        <AccountType/>
      </UserInfo>
      <UserInfo>
        <DisplayName>Van Hell, Cody</DisplayName>
        <AccountId>35</AccountId>
        <AccountType/>
      </UserInfo>
      <UserInfo>
        <DisplayName>Black, Jennifer N.</DisplayName>
        <AccountId>111</AccountId>
        <AccountType/>
      </UserInfo>
      <UserInfo>
        <DisplayName>Arthur, Brian R.</DisplayName>
        <AccountId>46</AccountId>
        <AccountType/>
      </UserInfo>
      <UserInfo>
        <DisplayName>Tse, Chris</DisplayName>
        <AccountId>90</AccountId>
        <AccountType/>
      </UserInfo>
      <UserInfo>
        <DisplayName>Wilson, Chad</DisplayName>
        <AccountId>200</AccountId>
        <AccountType/>
      </UserInfo>
      <UserInfo>
        <DisplayName>Wobeser, Trudy</DisplayName>
        <AccountId>45</AccountId>
        <AccountType/>
      </UserInfo>
      <UserInfo>
        <DisplayName>Oh, Hanna</DisplayName>
        <AccountId>12</AccountId>
        <AccountType/>
      </UserInfo>
    </SharedWithUsers>
  </documentManagement>
</p:properties>
</file>

<file path=customXml/itemProps1.xml><?xml version="1.0" encoding="utf-8"?>
<ds:datastoreItem xmlns:ds="http://schemas.openxmlformats.org/officeDocument/2006/customXml" ds:itemID="{3255038B-D71E-4C3C-A5E4-CDC8CD853C3E}">
  <ds:schemaRefs>
    <ds:schemaRef ds:uri="http://schemas.microsoft.com/sharepoint/v3/contenttype/forms"/>
  </ds:schemaRefs>
</ds:datastoreItem>
</file>

<file path=customXml/itemProps2.xml><?xml version="1.0" encoding="utf-8"?>
<ds:datastoreItem xmlns:ds="http://schemas.openxmlformats.org/officeDocument/2006/customXml" ds:itemID="{141FAA9F-5EE5-49E6-A08A-A3FFB646FE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fc16eb-708d-4ec9-8c01-531c9e227399"/>
    <ds:schemaRef ds:uri="857011bc-0a59-46e1-9004-ec215979d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4AB0A1-0AE3-4020-80BF-B1D93D3BA775}">
  <ds:schemaRefs>
    <ds:schemaRef ds:uri="http://schemas.microsoft.com/office/infopath/2007/PartnerControls"/>
    <ds:schemaRef ds:uri="http://www.w3.org/XML/1998/namespace"/>
    <ds:schemaRef ds:uri="http://schemas.microsoft.com/office/2006/documentManagement/types"/>
    <ds:schemaRef ds:uri="2dfc16eb-708d-4ec9-8c01-531c9e227399"/>
    <ds:schemaRef ds:uri="http://purl.org/dc/dcmitype/"/>
    <ds:schemaRef ds:uri="http://purl.org/dc/terms/"/>
    <ds:schemaRef ds:uri="http://schemas.openxmlformats.org/package/2006/metadata/core-properties"/>
    <ds:schemaRef ds:uri="857011bc-0a59-46e1-9004-ec215979dd0f"/>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Read me</vt:lpstr>
      <vt:lpstr>Tab 1 - Steps and Assumptions</vt:lpstr>
      <vt:lpstr>Tab 2 - Rate Summary</vt:lpstr>
      <vt:lpstr>No pymt delay model</vt:lpstr>
      <vt:lpstr>Tab 3 - Unlevied Land</vt:lpstr>
      <vt:lpstr>Tab 4 - Infrastructure</vt:lpstr>
      <vt:lpstr>Tab 5 - Benefit Allocation</vt:lpstr>
      <vt:lpstr>Tab 6 - Financial Model</vt:lpstr>
      <vt:lpstr>Tab 7 - Bylaw Continuity</vt:lpstr>
      <vt:lpstr>Tab 4 -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Sandhi, Divya</dc:creator>
  <cp:keywords/>
  <dc:description/>
  <cp:lastModifiedBy>Douglas, Garrath</cp:lastModifiedBy>
  <cp:revision/>
  <cp:lastPrinted>2023-09-15T16:03:19Z</cp:lastPrinted>
  <dcterms:created xsi:type="dcterms:W3CDTF">2023-01-03T18:12:07Z</dcterms:created>
  <dcterms:modified xsi:type="dcterms:W3CDTF">2023-09-18T19:48:02Z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0x010100315AE1FFC98EB74286A4F6C25286592C</vt:lpwstr>
  </property>
  <property fmtid="{D5CDD505-2E9C-101B-9397-08002B2CF9AE}" pid="5" name="MediaServiceImageTags">
    <vt:lpwstr/>
  </property>
</Properties>
</file>