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drawings/drawing1.xml" ContentType="application/vnd.openxmlformats-officedocument.drawing+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comments5.xml" ContentType="application/vnd.openxmlformats-officedocument.spreadsheetml.comments+xml"/>
  <Override PartName="/xl/threadedComments/threadedComment5.xml" ContentType="application/vnd.ms-excel.threadedcomments+xml"/>
  <Override PartName="/xl/comments6.xml" ContentType="application/vnd.openxmlformats-officedocument.spreadsheetml.comments+xml"/>
  <Override PartName="/xl/threadedComments/threadedComment6.xml" ContentType="application/vnd.ms-excel.threadedcomments+xml"/>
  <Override PartName="/xl/comments7.xml" ContentType="application/vnd.openxmlformats-officedocument.spreadsheetml.comments+xml"/>
  <Override PartName="/xl/threadedComments/threadedComment7.xml" ContentType="application/vnd.ms-excel.threadedcomments+xml"/>
  <Override PartName="/xl/comments8.xml" ContentType="application/vnd.openxmlformats-officedocument.spreadsheetml.comments+xml"/>
  <Override PartName="/xl/threadedComments/threadedComment8.xml" ContentType="application/vnd.ms-excel.threadedcomments+xml"/>
  <Override PartName="/xl/comments9.xml" ContentType="application/vnd.openxmlformats-officedocument.spreadsheetml.comments+xml"/>
  <Override PartName="/xl/threadedComments/threadedComment9.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defaultThemeVersion="166925"/>
  <mc:AlternateContent xmlns:mc="http://schemas.openxmlformats.org/markup-compatibility/2006">
    <mc:Choice Requires="x15">
      <x15ac:absPath xmlns:x15ac="http://schemas.microsoft.com/office/spreadsheetml/2010/11/ac" url="https://calgarycity.sharepoint.com/sites/Off-SiteLevyCoreTeam-CG-OSLCoreTeaminternal/Shared Documents/OSL Core Team (internal)/OSL - Financial Modeling/Formatted Financial Models/"/>
    </mc:Choice>
  </mc:AlternateContent>
  <xr:revisionPtr revIDLastSave="99" documentId="13_ncr:1_{728C3746-F880-40D7-841E-81FBCEA484A8}" xr6:coauthVersionLast="47" xr6:coauthVersionMax="47" xr10:uidLastSave="{86719CCD-7FED-431E-BE37-414929414C2B}"/>
  <bookViews>
    <workbookView xWindow="-110" yWindow="-110" windowWidth="25180" windowHeight="16140" tabRatio="633" xr2:uid="{00000000-000D-0000-FFFF-FFFF00000000}"/>
  </bookViews>
  <sheets>
    <sheet name="Read me" sheetId="16" r:id="rId1"/>
    <sheet name="Tab 1 - WTP Summary" sheetId="1" r:id="rId2"/>
    <sheet name="Tab 2 - WTP Future + Current" sheetId="6" r:id="rId3"/>
    <sheet name="Tab 3 - WTP Historic " sheetId="14" r:id="rId4"/>
    <sheet name="Tab 4 - WTP Capital " sheetId="5" r:id="rId5"/>
    <sheet name="Tab 5 - WTP Capacity " sheetId="9" r:id="rId6"/>
    <sheet name="Tab 6 - WWTP Summary" sheetId="3" r:id="rId7"/>
    <sheet name="Tab 7 - WWTP Future + Current" sheetId="8" r:id="rId8"/>
    <sheet name="Tab 8 - WWTP Historic" sheetId="13" r:id="rId9"/>
    <sheet name="Tab 9 - WWTP Capital" sheetId="7" r:id="rId10"/>
    <sheet name="Tab 10 - WWTP Capacity" sheetId="10" r:id="rId11"/>
    <sheet name="Tab 11 - WWTP Pine Creek Costs " sheetId="15" r:id="rId12"/>
  </sheets>
  <externalReferences>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s>
  <definedNames>
    <definedName name="_2000_stmcap" localSheetId="1">#REF!</definedName>
    <definedName name="_2000_stmcap" localSheetId="2">#REF!</definedName>
    <definedName name="_2000_stmcap" localSheetId="7">#REF!</definedName>
    <definedName name="_2000_stmcap">#REF!</definedName>
    <definedName name="_xlnm._FilterDatabase" localSheetId="3" hidden="1">'Tab 3 - WTP Historic '!$A$1:$A$2</definedName>
    <definedName name="_xlnm._FilterDatabase" localSheetId="4" hidden="1">'Tab 4 - WTP Capital '!$A$6:$AV$16</definedName>
    <definedName name="_xlnm._FilterDatabase" localSheetId="9" hidden="1">'Tab 9 - WWTP Capital'!$A$5:$AZ$19</definedName>
    <definedName name="_Order1" hidden="1">255</definedName>
    <definedName name="_Order2" hidden="1">255</definedName>
    <definedName name="a" localSheetId="1">#REF!</definedName>
    <definedName name="a" localSheetId="10">#REF!</definedName>
    <definedName name="a" localSheetId="2">#REF!</definedName>
    <definedName name="a" localSheetId="4">#REF!</definedName>
    <definedName name="a" localSheetId="5">#REF!</definedName>
    <definedName name="a" localSheetId="7">#REF!</definedName>
    <definedName name="a" localSheetId="9">#REF!</definedName>
    <definedName name="a">#REF!</definedName>
    <definedName name="abc" localSheetId="1">#REF!</definedName>
    <definedName name="abc" localSheetId="2">#REF!</definedName>
    <definedName name="abc" localSheetId="7">#REF!</definedName>
    <definedName name="abc">#REF!</definedName>
    <definedName name="acd" localSheetId="1">#REF!</definedName>
    <definedName name="acd" localSheetId="2">#REF!</definedName>
    <definedName name="acd" localSheetId="7">#REF!</definedName>
    <definedName name="acd">#REF!</definedName>
    <definedName name="Agreement_Year">'[1]Rcvd 2012-2014 AA'!$B$2:$B$2194</definedName>
    <definedName name="Agreement_Year_NoDrain">'[1]2012-2014 AA NO DRAINAGE'!$B$2:$B$1727</definedName>
    <definedName name="alloc_num">'[2]Regional Allocation (2015)'!$A$173:$A$183</definedName>
    <definedName name="Allocation_of_Plant_in_Service">"Plantinservice"</definedName>
    <definedName name="allocation1">'[2]Regional Allocation (2015)'!$D$173:$F$183</definedName>
    <definedName name="allocation2">'[2]Regional Allocation (2015)'!$I$173:$J$183</definedName>
    <definedName name="allocationbasis1">'[2]Regional Allocation (2015)'!$B$173:$B$183</definedName>
    <definedName name="allocationbasis2">'[2]Regional Allocation (2015)'!$H$173:$H$183</definedName>
    <definedName name="Amount">'[1]Rcvd 2012-2014 AA'!$D$2:$D$2194</definedName>
    <definedName name="Amount_NoDrain">'[1]2012-2014 AA NO DRAINAGE'!$D$2:$D$1727</definedName>
    <definedName name="annualpmts" localSheetId="1">'[3]Ver 1 - Loan beg 2009'!#REF!</definedName>
    <definedName name="annualpmts" localSheetId="10">'[3]Ver 1 - Loan beg 2009'!#REF!</definedName>
    <definedName name="annualpmts" localSheetId="2">'[3]Ver 1 - Loan beg 2009'!#REF!</definedName>
    <definedName name="annualpmts" localSheetId="4">'[3]Ver 1 - Loan beg 2009'!#REF!</definedName>
    <definedName name="annualpmts" localSheetId="5">'[3]Ver 1 - Loan beg 2009'!#REF!</definedName>
    <definedName name="annualpmts" localSheetId="7">'[3]Ver 1 - Loan beg 2009'!#REF!</definedName>
    <definedName name="annualpmts" localSheetId="9">'[3]Ver 1 - Loan beg 2009'!#REF!</definedName>
    <definedName name="annualpmts">'[3]Ver 1 - Loan beg 2009'!#REF!</definedName>
    <definedName name="APmt" localSheetId="1">'[3]Ver 1 - Loan beg 2009'!#REF!</definedName>
    <definedName name="APmt" localSheetId="10">'[3]Ver 1 - Loan beg 2009'!#REF!</definedName>
    <definedName name="APmt" localSheetId="2">'[3]Ver 1 - Loan beg 2009'!#REF!</definedName>
    <definedName name="APmt" localSheetId="4">'[3]Ver 1 - Loan beg 2009'!#REF!</definedName>
    <definedName name="APmt" localSheetId="5">'[3]Ver 1 - Loan beg 2009'!#REF!</definedName>
    <definedName name="APmt" localSheetId="7">'[3]Ver 1 - Loan beg 2009'!#REF!</definedName>
    <definedName name="APmt" localSheetId="9">'[3]Ver 1 - Loan beg 2009'!#REF!</definedName>
    <definedName name="APmt">'[3]Ver 1 - Loan beg 2009'!#REF!</definedName>
    <definedName name="ASD" localSheetId="1">[4]P840!#REF!</definedName>
    <definedName name="ASD" localSheetId="2">[4]P840!#REF!</definedName>
    <definedName name="ASD" localSheetId="7">[4]P840!#REF!</definedName>
    <definedName name="ASD">[4]P840!#REF!</definedName>
    <definedName name="assumptions">[2]Assumptions!$E$8:$I$25</definedName>
    <definedName name="b" localSheetId="1">#REF!</definedName>
    <definedName name="b" localSheetId="10">#REF!</definedName>
    <definedName name="b" localSheetId="2">#REF!</definedName>
    <definedName name="b" localSheetId="4">#REF!</definedName>
    <definedName name="b" localSheetId="5">#REF!</definedName>
    <definedName name="b" localSheetId="7">#REF!</definedName>
    <definedName name="b" localSheetId="9">#REF!</definedName>
    <definedName name="b">#REF!</definedName>
    <definedName name="BASEYEAR" localSheetId="1">#REF!</definedName>
    <definedName name="BASEYEAR" localSheetId="2">#REF!</definedName>
    <definedName name="BASEYEAR" localSheetId="7">#REF!</definedName>
    <definedName name="BASEYEAR">#REF!</definedName>
    <definedName name="Beg_Bal" localSheetId="1">#REF!</definedName>
    <definedName name="Beg_Bal" localSheetId="2">#REF!</definedName>
    <definedName name="Beg_Bal" localSheetId="7">#REF!</definedName>
    <definedName name="Beg_Bal">#REF!</definedName>
    <definedName name="biz_query" localSheetId="1">[5]Sheet1!#REF!</definedName>
    <definedName name="biz_query" localSheetId="2">[5]Sheet1!#REF!</definedName>
    <definedName name="biz_query" localSheetId="7">[5]Sheet1!#REF!</definedName>
    <definedName name="biz_query">[5]Sheet1!#REF!</definedName>
    <definedName name="Btear105">'[6]Debt-WWTP 2014 Input'!$B$5</definedName>
    <definedName name="Btear1055" localSheetId="1">#REF!</definedName>
    <definedName name="Btear1055" localSheetId="10">#REF!</definedName>
    <definedName name="Btear1055" localSheetId="2">#REF!</definedName>
    <definedName name="Btear1055" localSheetId="4">#REF!</definedName>
    <definedName name="Btear1055" localSheetId="5">#REF!</definedName>
    <definedName name="Btear1055" localSheetId="7">#REF!</definedName>
    <definedName name="Btear1055" localSheetId="9">#REF!</definedName>
    <definedName name="Btear1055">#REF!</definedName>
    <definedName name="btear4">[7]Input!$B$5</definedName>
    <definedName name="BYear" localSheetId="2">[8]Input!$B$5</definedName>
    <definedName name="BYear" localSheetId="7">[8]Input!$B$5</definedName>
    <definedName name="BYear">[9]Input!$B$5</definedName>
    <definedName name="Byear101" localSheetId="1">#REF!</definedName>
    <definedName name="Byear101" localSheetId="10">#REF!</definedName>
    <definedName name="Byear101" localSheetId="2">#REF!</definedName>
    <definedName name="Byear101" localSheetId="4">#REF!</definedName>
    <definedName name="Byear101" localSheetId="5">#REF!</definedName>
    <definedName name="Byear101" localSheetId="7">#REF!</definedName>
    <definedName name="Byear101" localSheetId="9">#REF!</definedName>
    <definedName name="Byear101">#REF!</definedName>
    <definedName name="Byear102" localSheetId="1">#REF!</definedName>
    <definedName name="Byear102" localSheetId="2">#REF!</definedName>
    <definedName name="Byear102" localSheetId="7">#REF!</definedName>
    <definedName name="Byear102">#REF!</definedName>
    <definedName name="Byear103">'[6]Debt-Collection 2014 Input'!$B$5</definedName>
    <definedName name="Byear104">'[6]Debt-Collection2025 Input'!$B$6</definedName>
    <definedName name="Byear106">'[6]Debt-WWTP 2015-2024 Input'!$B$5</definedName>
    <definedName name="byear107">'[6]Debt-WWTP 2025 Input'!$B$5</definedName>
    <definedName name="BYear108">'[6]Debt- Distribution 2014 Input'!$B$5</definedName>
    <definedName name="BYear109">'[6]Debt- Distrib 2015-2024 Input'!$B$5</definedName>
    <definedName name="Byear110">'[6]Debt- Distrib 2025 Input'!$B$5</definedName>
    <definedName name="Byear111">'[6]Debt- Water Treatment2014 Input'!$B$5</definedName>
    <definedName name="Byear112">'[6]Debt-Water Treat 2015-2024Input'!$B$6</definedName>
    <definedName name="Byear113">'[6]Debt-WTP 2025 Input'!$B$6</definedName>
    <definedName name="byear12">[10]Input!$B$5</definedName>
    <definedName name="Byear13">[7]Input!$B$5</definedName>
    <definedName name="byear2">[7]Input!$B$5</definedName>
    <definedName name="Byear20">[7]Input!$B$5</definedName>
    <definedName name="Byear2004">[7]Input!$B$5</definedName>
    <definedName name="Byear2014">[11]Input!$B$5</definedName>
    <definedName name="Byear21">[12]Input!$B$5</definedName>
    <definedName name="bYEAR24">[13]Input!$B$5</definedName>
    <definedName name="byear25">[13]Input!$B$5</definedName>
    <definedName name="byear26">[13]Input!$B$5</definedName>
    <definedName name="byear27">[13]Input!$B$5</definedName>
    <definedName name="Byear3">[14]Input!$B$5</definedName>
    <definedName name="byear30">[11]Input!$B$5</definedName>
    <definedName name="byear31">[11]Input!$B$5</definedName>
    <definedName name="byear35">[11]Input!$B$5</definedName>
    <definedName name="Byear40">[15]Input!$B$5</definedName>
    <definedName name="byear41">[15]Input!$B$5</definedName>
    <definedName name="byear42">[16]Input!$B$5</definedName>
    <definedName name="Byear45" localSheetId="1">#REF!</definedName>
    <definedName name="Byear45" localSheetId="10">#REF!</definedName>
    <definedName name="Byear45" localSheetId="2">#REF!</definedName>
    <definedName name="Byear45" localSheetId="4">#REF!</definedName>
    <definedName name="Byear45" localSheetId="5">#REF!</definedName>
    <definedName name="Byear45" localSheetId="7">#REF!</definedName>
    <definedName name="Byear45" localSheetId="9">#REF!</definedName>
    <definedName name="Byear45">#REF!</definedName>
    <definedName name="byear46" localSheetId="1">#REF!</definedName>
    <definedName name="byear46" localSheetId="2">#REF!</definedName>
    <definedName name="byear46" localSheetId="7">#REF!</definedName>
    <definedName name="byear46">#REF!</definedName>
    <definedName name="byear47" localSheetId="1">#REF!</definedName>
    <definedName name="byear47" localSheetId="2">#REF!</definedName>
    <definedName name="byear47" localSheetId="7">#REF!</definedName>
    <definedName name="byear47">#REF!</definedName>
    <definedName name="byear48">[17]Input!$B$5</definedName>
    <definedName name="byear50" localSheetId="1">#REF!</definedName>
    <definedName name="byear50" localSheetId="10">#REF!</definedName>
    <definedName name="byear50" localSheetId="2">#REF!</definedName>
    <definedName name="byear50" localSheetId="4">#REF!</definedName>
    <definedName name="byear50" localSheetId="5">#REF!</definedName>
    <definedName name="byear50" localSheetId="7">#REF!</definedName>
    <definedName name="byear50" localSheetId="9">#REF!</definedName>
    <definedName name="byear50">#REF!</definedName>
    <definedName name="Byear51">[18]Input!$B$5</definedName>
    <definedName name="byear52" localSheetId="1">#REF!</definedName>
    <definedName name="byear52" localSheetId="10">#REF!</definedName>
    <definedName name="byear52" localSheetId="2">#REF!</definedName>
    <definedName name="byear52" localSheetId="4">#REF!</definedName>
    <definedName name="byear52" localSheetId="5">#REF!</definedName>
    <definedName name="byear52" localSheetId="7">#REF!</definedName>
    <definedName name="byear52" localSheetId="9">#REF!</definedName>
    <definedName name="byear52">#REF!</definedName>
    <definedName name="Byear53" localSheetId="1">#REF!</definedName>
    <definedName name="Byear53" localSheetId="2">#REF!</definedName>
    <definedName name="Byear53" localSheetId="7">#REF!</definedName>
    <definedName name="Byear53">#REF!</definedName>
    <definedName name="byear54" localSheetId="1">#REF!</definedName>
    <definedName name="byear54" localSheetId="2">#REF!</definedName>
    <definedName name="byear54" localSheetId="7">#REF!</definedName>
    <definedName name="byear54">#REF!</definedName>
    <definedName name="Byear55" localSheetId="1">#REF!</definedName>
    <definedName name="Byear55" localSheetId="2">#REF!</definedName>
    <definedName name="Byear55" localSheetId="7">#REF!</definedName>
    <definedName name="Byear55">#REF!</definedName>
    <definedName name="byear57" localSheetId="1">#REF!</definedName>
    <definedName name="byear57" localSheetId="2">#REF!</definedName>
    <definedName name="byear57" localSheetId="7">#REF!</definedName>
    <definedName name="byear57">#REF!</definedName>
    <definedName name="byear59" localSheetId="1">#REF!</definedName>
    <definedName name="byear59" localSheetId="2">#REF!</definedName>
    <definedName name="byear59" localSheetId="7">#REF!</definedName>
    <definedName name="byear59">#REF!</definedName>
    <definedName name="Byear6">[19]Input!$B$5</definedName>
    <definedName name="Byear60" localSheetId="1">#REF!</definedName>
    <definedName name="Byear60" localSheetId="10">#REF!</definedName>
    <definedName name="Byear60" localSheetId="2">#REF!</definedName>
    <definedName name="Byear60" localSheetId="4">#REF!</definedName>
    <definedName name="Byear60" localSheetId="5">#REF!</definedName>
    <definedName name="Byear60" localSheetId="7">#REF!</definedName>
    <definedName name="Byear60" localSheetId="9">#REF!</definedName>
    <definedName name="Byear60">#REF!</definedName>
    <definedName name="Byear7">[12]Input!$B$5</definedName>
    <definedName name="Byear70">[20]Input!$B$5</definedName>
    <definedName name="byear72">[21]Input!$B$5</definedName>
    <definedName name="Byear8">[14]Input!$B$5</definedName>
    <definedName name="Byear90">'[6]Debt-Collection Input 2015-2024'!$B$7</definedName>
    <definedName name="_xlnm.Criteria" localSheetId="1">[22]loan!#REF!</definedName>
    <definedName name="_xlnm.Criteria" localSheetId="10">[22]loan!#REF!</definedName>
    <definedName name="_xlnm.Criteria" localSheetId="2">[22]loan!#REF!</definedName>
    <definedName name="_xlnm.Criteria" localSheetId="4">[22]loan!#REF!</definedName>
    <definedName name="_xlnm.Criteria" localSheetId="5">[22]loan!#REF!</definedName>
    <definedName name="_xlnm.Criteria" localSheetId="7">[22]loan!#REF!</definedName>
    <definedName name="_xlnm.Criteria" localSheetId="9">[22]loan!#REF!</definedName>
    <definedName name="_xlnm.Criteria">[22]loan!#REF!</definedName>
    <definedName name="Cum_Int" localSheetId="1">#REF!</definedName>
    <definedName name="Cum_Int" localSheetId="10">#REF!</definedName>
    <definedName name="Cum_Int" localSheetId="2">#REF!</definedName>
    <definedName name="Cum_Int" localSheetId="4">#REF!</definedName>
    <definedName name="Cum_Int" localSheetId="5">#REF!</definedName>
    <definedName name="Cum_Int" localSheetId="7">#REF!</definedName>
    <definedName name="Cum_Int" localSheetId="9">#REF!</definedName>
    <definedName name="Cum_Int">#REF!</definedName>
    <definedName name="dashboard_years">[2]Dashboard!$C$22:$G$22</definedName>
    <definedName name="Data" localSheetId="1">#REF!</definedName>
    <definedName name="Data" localSheetId="10">#REF!</definedName>
    <definedName name="Data" localSheetId="2">#REF!</definedName>
    <definedName name="Data" localSheetId="4">#REF!</definedName>
    <definedName name="Data" localSheetId="5">#REF!</definedName>
    <definedName name="Data" localSheetId="7">#REF!</definedName>
    <definedName name="Data" localSheetId="9">#REF!</definedName>
    <definedName name="Data">#REF!</definedName>
    <definedName name="_xlnm.Database" localSheetId="1">[22]loan!#REF!</definedName>
    <definedName name="_xlnm.Database" localSheetId="10">[22]loan!#REF!</definedName>
    <definedName name="_xlnm.Database" localSheetId="2">[22]loan!#REF!</definedName>
    <definedName name="_xlnm.Database" localSheetId="4">[22]loan!#REF!</definedName>
    <definedName name="_xlnm.Database" localSheetId="5">[22]loan!#REF!</definedName>
    <definedName name="_xlnm.Database" localSheetId="7">[22]loan!#REF!</definedName>
    <definedName name="_xlnm.Database" localSheetId="9">[22]loan!#REF!</definedName>
    <definedName name="_xlnm.Database">[22]loan!#REF!</definedName>
    <definedName name="dd" localSheetId="1">[22]loan!#REF!</definedName>
    <definedName name="dd">[22]loan!#REF!</definedName>
    <definedName name="Debt10">'[23]Water TP @2016'!$F$6</definedName>
    <definedName name="Debt25">'[23]Water TP @2016'!$E$6</definedName>
    <definedName name="Development_Type">'[1]Rcvd 2012-2014 AA'!$F$2:$F$2194</definedName>
    <definedName name="Development_Type_NoDrain">'[1]2012-2014 AA NO DRAINAGE'!$E$2:$E$1727</definedName>
    <definedName name="Disc3.3">'[23]Water TP @2016'!$H$6</definedName>
    <definedName name="End_Bal" localSheetId="1">#REF!</definedName>
    <definedName name="End_Bal" localSheetId="10">#REF!</definedName>
    <definedName name="End_Bal" localSheetId="2">#REF!</definedName>
    <definedName name="End_Bal" localSheetId="4">#REF!</definedName>
    <definedName name="End_Bal" localSheetId="5">#REF!</definedName>
    <definedName name="End_Bal" localSheetId="7">#REF!</definedName>
    <definedName name="End_Bal" localSheetId="9">#REF!</definedName>
    <definedName name="End_Bal">#REF!</definedName>
    <definedName name="EndRow" localSheetId="1">#REF!</definedName>
    <definedName name="EndRow" localSheetId="2">#REF!</definedName>
    <definedName name="EndRow" localSheetId="7">#REF!</definedName>
    <definedName name="EndRow">#REF!</definedName>
    <definedName name="er" localSheetId="1">'[3]Ver 1 - Loan beg 2009'!#REF!</definedName>
    <definedName name="er">'[3]Ver 1 - Loan beg 2009'!#REF!</definedName>
    <definedName name="ExteralData_TotalValue_IND2013">'[1]Calculated DA Values'!$D$2</definedName>
    <definedName name="ExteralData_TotalValue_IND2014">'[1]Calculated DA Values'!$D$7</definedName>
    <definedName name="Extra_Pay" localSheetId="1">#REF!</definedName>
    <definedName name="Extra_Pay" localSheetId="10">#REF!</definedName>
    <definedName name="Extra_Pay" localSheetId="2">#REF!</definedName>
    <definedName name="Extra_Pay" localSheetId="4">#REF!</definedName>
    <definedName name="Extra_Pay" localSheetId="5">#REF!</definedName>
    <definedName name="Extra_Pay" localSheetId="7">#REF!</definedName>
    <definedName name="Extra_Pay" localSheetId="9">#REF!</definedName>
    <definedName name="Extra_Pay">#REF!</definedName>
    <definedName name="Full_Print" localSheetId="1">#REF!</definedName>
    <definedName name="Full_Print" localSheetId="2">#REF!</definedName>
    <definedName name="Full_Print" localSheetId="7">#REF!</definedName>
    <definedName name="Full_Print">#REF!</definedName>
    <definedName name="functions1">'[2]Regional Allocation (2015)'!$D$172:$F$172</definedName>
    <definedName name="functions2">'[2]Regional Allocation (2015)'!$I$172:$J$172</definedName>
    <definedName name="Header_Row" localSheetId="1">ROW(#REF!)</definedName>
    <definedName name="Header_Row" localSheetId="2">ROW(#REF!)</definedName>
    <definedName name="Header_Row" localSheetId="7">ROW(#REF!)</definedName>
    <definedName name="Header_Row">ROW(#REF!)</definedName>
    <definedName name="i" localSheetId="1">#REF!</definedName>
    <definedName name="i" localSheetId="2">#REF!</definedName>
    <definedName name="i" localSheetId="7">#REF!</definedName>
    <definedName name="i">#REF!</definedName>
    <definedName name="Int" localSheetId="1">#REF!</definedName>
    <definedName name="Int" localSheetId="2">#REF!</definedName>
    <definedName name="Int" localSheetId="7">#REF!</definedName>
    <definedName name="Int">#REF!</definedName>
    <definedName name="Interest_Rate" localSheetId="1">#REF!</definedName>
    <definedName name="Interest_Rate" localSheetId="2">#REF!</definedName>
    <definedName name="Interest_Rate" localSheetId="7">#REF!</definedName>
    <definedName name="Interest_Rate">#REF!</definedName>
    <definedName name="j" localSheetId="1">#REF!</definedName>
    <definedName name="j" localSheetId="2">#REF!</definedName>
    <definedName name="j" localSheetId="7">#REF!</definedName>
    <definedName name="j">#REF!</definedName>
    <definedName name="l" localSheetId="1">[22]loan!#REF!</definedName>
    <definedName name="l" localSheetId="10">[22]loan!#REF!</definedName>
    <definedName name="l" localSheetId="2">[22]loan!#REF!</definedName>
    <definedName name="l" localSheetId="4">[22]loan!#REF!</definedName>
    <definedName name="l" localSheetId="5">[22]loan!#REF!</definedName>
    <definedName name="l" localSheetId="7">[22]loan!#REF!</definedName>
    <definedName name="l" localSheetId="9">[22]loan!#REF!</definedName>
    <definedName name="l">[22]loan!#REF!</definedName>
    <definedName name="Last_Row" localSheetId="1">IF('Tab 1 - WTP Summary'!Values_Entered,'Tab 1 - WTP Summary'!Header_Row+'Tab 1 - WTP Summary'!Number_of_Payments,'Tab 1 - WTP Summary'!Header_Row)</definedName>
    <definedName name="Last_Row" localSheetId="10">IF('Tab 10 - WWTP Capacity'!Values_Entered,Header_Row+'Tab 10 - WWTP Capacity'!Number_of_Payments,Header_Row)</definedName>
    <definedName name="Last_Row" localSheetId="11">IF('Tab 11 - WWTP Pine Creek Costs '!Values_Entered,[0]!Header_Row+'Tab 11 - WWTP Pine Creek Costs '!Number_of_Payments,[0]!Header_Row)</definedName>
    <definedName name="Last_Row" localSheetId="2">IF('Tab 2 - WTP Future + Current'!Values_Entered,'Tab 2 - WTP Future + Current'!Header_Row+'Tab 2 - WTP Future + Current'!Number_of_Payments,'Tab 2 - WTP Future + Current'!Header_Row)</definedName>
    <definedName name="Last_Row" localSheetId="4">IF('Tab 4 - WTP Capital '!Values_Entered,Header_Row+'Tab 4 - WTP Capital '!Number_of_Payments,Header_Row)</definedName>
    <definedName name="Last_Row" localSheetId="5">IF('Tab 5 - WTP Capacity '!Values_Entered,Header_Row+'Tab 5 - WTP Capacity '!Number_of_Payments,Header_Row)</definedName>
    <definedName name="Last_Row" localSheetId="7">IF('Tab 7 - WWTP Future + Current'!Values_Entered,'Tab 7 - WWTP Future + Current'!Header_Row+'Tab 7 - WWTP Future + Current'!Number_of_Payments,'Tab 7 - WWTP Future + Current'!Header_Row)</definedName>
    <definedName name="Last_Row" localSheetId="9">IF('Tab 9 - WWTP Capital'!Values_Entered,Header_Row+'Tab 9 - WWTP Capital'!Number_of_Payments,Header_Row)</definedName>
    <definedName name="Last_Row">IF(Values_Entered,Header_Row+Number_of_Payments,Header_Row)</definedName>
    <definedName name="Layout">[24]Sheet1!$AA$16</definedName>
    <definedName name="Loan_Amount" localSheetId="1">#REF!</definedName>
    <definedName name="Loan_Amount" localSheetId="10">#REF!</definedName>
    <definedName name="Loan_Amount" localSheetId="2">#REF!</definedName>
    <definedName name="Loan_Amount" localSheetId="4">#REF!</definedName>
    <definedName name="Loan_Amount" localSheetId="5">#REF!</definedName>
    <definedName name="Loan_Amount" localSheetId="7">#REF!</definedName>
    <definedName name="Loan_Amount" localSheetId="9">#REF!</definedName>
    <definedName name="Loan_Amount">#REF!</definedName>
    <definedName name="Loan_Start" localSheetId="1">#REF!</definedName>
    <definedName name="Loan_Start" localSheetId="2">#REF!</definedName>
    <definedName name="Loan_Start" localSheetId="7">#REF!</definedName>
    <definedName name="Loan_Start">#REF!</definedName>
    <definedName name="Loan_Years" localSheetId="1">#REF!</definedName>
    <definedName name="Loan_Years" localSheetId="2">#REF!</definedName>
    <definedName name="Loan_Years" localSheetId="7">#REF!</definedName>
    <definedName name="Loan_Years">#REF!</definedName>
    <definedName name="m" localSheetId="1">#REF!</definedName>
    <definedName name="m" localSheetId="2">#REF!</definedName>
    <definedName name="m" localSheetId="7">#REF!</definedName>
    <definedName name="m">#REF!</definedName>
    <definedName name="n" localSheetId="1">'[3]Ver 1 - Loan beg 2009'!#REF!</definedName>
    <definedName name="n" localSheetId="2">'[3]Ver 1 - Loan beg 2009'!#REF!</definedName>
    <definedName name="n" localSheetId="7">'[3]Ver 1 - Loan beg 2009'!#REF!</definedName>
    <definedName name="n">'[3]Ver 1 - Loan beg 2009'!#REF!</definedName>
    <definedName name="Num_Pmt_Per_Year" localSheetId="1">#REF!</definedName>
    <definedName name="Num_Pmt_Per_Year" localSheetId="10">#REF!</definedName>
    <definedName name="Num_Pmt_Per_Year" localSheetId="2">#REF!</definedName>
    <definedName name="Num_Pmt_Per_Year" localSheetId="4">#REF!</definedName>
    <definedName name="Num_Pmt_Per_Year" localSheetId="5">#REF!</definedName>
    <definedName name="Num_Pmt_Per_Year" localSheetId="7">#REF!</definedName>
    <definedName name="Num_Pmt_Per_Year" localSheetId="9">#REF!</definedName>
    <definedName name="Num_Pmt_Per_Year">#REF!</definedName>
    <definedName name="Number_of_Payments" localSheetId="1">MATCH(0.01,'Tab 1 - WTP Summary'!End_Bal,-1)+1</definedName>
    <definedName name="Number_of_Payments" localSheetId="10">MATCH(0.01,'Tab 10 - WWTP Capacity'!End_Bal,-1)+1</definedName>
    <definedName name="Number_of_Payments" localSheetId="11">MATCH(0.01,[0]!End_Bal,-1)+1</definedName>
    <definedName name="Number_of_Payments" localSheetId="2">MATCH(0.01,'Tab 2 - WTP Future + Current'!End_Bal,-1)+1</definedName>
    <definedName name="Number_of_Payments" localSheetId="4">MATCH(0.01,'Tab 4 - WTP Capital '!End_Bal,-1)+1</definedName>
    <definedName name="Number_of_Payments" localSheetId="5">MATCH(0.01,'Tab 5 - WTP Capacity '!End_Bal,-1)+1</definedName>
    <definedName name="Number_of_Payments" localSheetId="7">MATCH(0.01,'Tab 7 - WWTP Future + Current'!End_Bal,-1)+1</definedName>
    <definedName name="Number_of_Payments" localSheetId="9">MATCH(0.01,'Tab 9 - WWTP Capital'!End_Bal,-1)+1</definedName>
    <definedName name="Number_of_Payments">MATCH(0.01,End_Bal,-1)+1</definedName>
    <definedName name="NvsAnswerCol">"'[DR_2819534_2896289_RESERVES_CITYC_2007-12-31.xls]COCGL_NVSDRILL_JRNLS'!$A$7:$A$26"</definedName>
    <definedName name="NvsASD">"V2007-12-31"</definedName>
    <definedName name="NvsAutoDrillOk">"VN"</definedName>
    <definedName name="NvsElapsedTime">0.0000115740767796524</definedName>
    <definedName name="NvsEndTime">39456.7439583333</definedName>
    <definedName name="NvsInstLang">"VENG"</definedName>
    <definedName name="NvsInstSpec">"%,FCHARTFIELD1,TCOC_CORP_PROG_ACTV,NA_P840"</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"%,X,RZF..,CNF.."</definedName>
    <definedName name="NvsPanelBusUnit">"V"</definedName>
    <definedName name="NvsPanelEffdt">"V2006-08-10"</definedName>
    <definedName name="NvsPanelSetid">"VSHARE"</definedName>
    <definedName name="NvsParentRef">"'[RESERVES_CITYC_2007-12-31.xls]Reserves'!$R$19"</definedName>
    <definedName name="NvsReqBU">"VCITYC"</definedName>
    <definedName name="NvsReqBUOnly">"VY"</definedName>
    <definedName name="NvsTransLed">"VN"</definedName>
    <definedName name="NvsTreeASD">"V2008-01-01"</definedName>
    <definedName name="NvsValTbl.ACCOUNT">"GL_ACCOUNT_TBL"</definedName>
    <definedName name="NvsValTbl.BUSINESS_UNIT">"BUS_UNIT_TBL_GL"</definedName>
    <definedName name="NvsValTbl.CC_FUNDING">"CC_PRODUCT_TBL"</definedName>
    <definedName name="NvsValTbl.CURRENCY_CD">"CURRENCY_CD_TBL"</definedName>
    <definedName name="NvsValTbl.FISCAL_YEAR">"BD_CAL_FY_VW"</definedName>
    <definedName name="NvsValTbl.PRODUCT">"PRODUCT_TBL"</definedName>
    <definedName name="NvsValTbl.SCENARIO">"BD_SCENARIO_TBL"</definedName>
    <definedName name="NvsValTbl.STATISTICS_CODE">"STAT_TBL"</definedName>
    <definedName name="o" localSheetId="1">#REF!</definedName>
    <definedName name="o" localSheetId="10">#REF!</definedName>
    <definedName name="o" localSheetId="2">#REF!</definedName>
    <definedName name="o" localSheetId="4">#REF!</definedName>
    <definedName name="o" localSheetId="5">#REF!</definedName>
    <definedName name="o" localSheetId="7">#REF!</definedName>
    <definedName name="o" localSheetId="9">#REF!</definedName>
    <definedName name="o">#REF!</definedName>
    <definedName name="OprID">[25]Sheet1!$AA$15</definedName>
    <definedName name="overrides">[2]Dashboard!$C$25:$G$38</definedName>
    <definedName name="P" localSheetId="1">'[3]Ver 1 - Loan beg 2009'!#REF!</definedName>
    <definedName name="P" localSheetId="10">'[3]Ver 1 - Loan beg 2009'!#REF!</definedName>
    <definedName name="P" localSheetId="2">'[3]Ver 1 - Loan beg 2009'!#REF!</definedName>
    <definedName name="P" localSheetId="4">'[3]Ver 1 - Loan beg 2009'!#REF!</definedName>
    <definedName name="P" localSheetId="5">'[3]Ver 1 - Loan beg 2009'!#REF!</definedName>
    <definedName name="P" localSheetId="7">'[3]Ver 1 - Loan beg 2009'!#REF!</definedName>
    <definedName name="P" localSheetId="9">'[3]Ver 1 - Loan beg 2009'!#REF!</definedName>
    <definedName name="P">'[3]Ver 1 - Loan beg 2009'!#REF!</definedName>
    <definedName name="Pay_Date" localSheetId="1">#REF!</definedName>
    <definedName name="Pay_Date" localSheetId="10">#REF!</definedName>
    <definedName name="Pay_Date" localSheetId="2">#REF!</definedName>
    <definedName name="Pay_Date" localSheetId="4">#REF!</definedName>
    <definedName name="Pay_Date" localSheetId="5">#REF!</definedName>
    <definedName name="Pay_Date" localSheetId="7">#REF!</definedName>
    <definedName name="Pay_Date" localSheetId="9">#REF!</definedName>
    <definedName name="Pay_Date">#REF!</definedName>
    <definedName name="Pay_Num" localSheetId="1">#REF!</definedName>
    <definedName name="Pay_Num" localSheetId="2">#REF!</definedName>
    <definedName name="Pay_Num" localSheetId="7">#REF!</definedName>
    <definedName name="Pay_Num">#REF!</definedName>
    <definedName name="Payment_Date" localSheetId="1">DATE(YEAR('Tab 1 - WTP Summary'!Loan_Start),MONTH('Tab 1 - WTP Summary'!Loan_Start)+Payment_Number,DAY('Tab 1 - WTP Summary'!Loan_Start))</definedName>
    <definedName name="Payment_Date" localSheetId="10">DATE(YEAR(Loan_Start),MONTH(Loan_Start)+Payment_Number,DAY(Loan_Start))</definedName>
    <definedName name="Payment_Date" localSheetId="11">DATE(YEAR([0]!Loan_Start),MONTH([0]!Loan_Start)+Payment_Number,DAY([0]!Loan_Start))</definedName>
    <definedName name="Payment_Date" localSheetId="2">DATE(YEAR('Tab 2 - WTP Future + Current'!Loan_Start),MONTH('Tab 2 - WTP Future + Current'!Loan_Start)+Payment_Number,DAY('Tab 2 - WTP Future + Current'!Loan_Start))</definedName>
    <definedName name="Payment_Date" localSheetId="3">DATE(YEAR([0]!Loan_Start),MONTH([0]!Loan_Start)+Payment_Number,DAY([0]!Loan_Start))</definedName>
    <definedName name="Payment_Date" localSheetId="4">DATE(YEAR(Loan_Start),MONTH(Loan_Start)+Payment_Number,DAY(Loan_Start))</definedName>
    <definedName name="Payment_Date" localSheetId="5">DATE(YEAR(Loan_Start),MONTH(Loan_Start)+Payment_Number,DAY(Loan_Start))</definedName>
    <definedName name="Payment_Date" localSheetId="7">DATE(YEAR('Tab 7 - WWTP Future + Current'!Loan_Start),MONTH('Tab 7 - WWTP Future + Current'!Loan_Start)+Payment_Number,DAY('Tab 7 - WWTP Future + Current'!Loan_Start))</definedName>
    <definedName name="Payment_Date" localSheetId="9">DATE(YEAR(Loan_Start),MONTH(Loan_Start)+Payment_Number,DAY(Loan_Start))</definedName>
    <definedName name="Payment_Date">DATE(YEAR(Loan_Start),MONTH(Loan_Start)+Payment_Number,DAY(Loan_Start))</definedName>
    <definedName name="Pmt" localSheetId="1">'[3]Ver 1 - Loan beg 2009'!#REF!</definedName>
    <definedName name="Pmt" localSheetId="10">'[3]Ver 1 - Loan beg 2009'!#REF!</definedName>
    <definedName name="Pmt" localSheetId="11">'[3]Ver 1 - Loan beg 2009'!#REF!</definedName>
    <definedName name="Pmt" localSheetId="2">'[3]Ver 1 - Loan beg 2009'!#REF!</definedName>
    <definedName name="Pmt" localSheetId="4">'[3]Ver 1 - Loan beg 2009'!#REF!</definedName>
    <definedName name="Pmt" localSheetId="5">'[3]Ver 1 - Loan beg 2009'!#REF!</definedName>
    <definedName name="Pmt" localSheetId="7">'[3]Ver 1 - Loan beg 2009'!#REF!</definedName>
    <definedName name="Pmt" localSheetId="9">'[3]Ver 1 - Loan beg 2009'!#REF!</definedName>
    <definedName name="Pmt">'[3]Ver 1 - Loan beg 2009'!#REF!</definedName>
    <definedName name="Princ" localSheetId="1">#REF!</definedName>
    <definedName name="Princ" localSheetId="10">#REF!</definedName>
    <definedName name="Princ" localSheetId="2">#REF!</definedName>
    <definedName name="Princ" localSheetId="4">#REF!</definedName>
    <definedName name="Princ" localSheetId="5">#REF!</definedName>
    <definedName name="Princ" localSheetId="7">#REF!</definedName>
    <definedName name="Princ" localSheetId="9">#REF!</definedName>
    <definedName name="Princ">#REF!</definedName>
    <definedName name="Print_Area_MI" localSheetId="1">#REF!</definedName>
    <definedName name="Print_Area_MI" localSheetId="2">#REF!</definedName>
    <definedName name="Print_Area_MI" localSheetId="7">#REF!</definedName>
    <definedName name="Print_Area_MI">#REF!</definedName>
    <definedName name="Print_Area_Reset" localSheetId="1">OFFSET('Tab 1 - WTP Summary'!Full_Print,0,0,'Tab 1 - WTP Summary'!Last_Row)</definedName>
    <definedName name="Print_Area_Reset" localSheetId="10">OFFSET(Full_Print,0,0,'Tab 10 - WWTP Capacity'!Last_Row)</definedName>
    <definedName name="Print_Area_Reset" localSheetId="11">OFFSET([0]!Full_Print,0,0,'Tab 11 - WWTP Pine Creek Costs '!Last_Row)</definedName>
    <definedName name="Print_Area_Reset" localSheetId="2">OFFSET('Tab 2 - WTP Future + Current'!Full_Print,0,0,'Tab 2 - WTP Future + Current'!Last_Row)</definedName>
    <definedName name="Print_Area_Reset" localSheetId="4">OFFSET(Full_Print,0,0,'Tab 4 - WTP Capital '!Last_Row)</definedName>
    <definedName name="Print_Area_Reset" localSheetId="5">OFFSET(Full_Print,0,0,'Tab 5 - WTP Capacity '!Last_Row)</definedName>
    <definedName name="Print_Area_Reset" localSheetId="7">OFFSET('Tab 7 - WWTP Future + Current'!Full_Print,0,0,'Tab 7 - WWTP Future + Current'!Last_Row)</definedName>
    <definedName name="Print_Area_Reset" localSheetId="9">OFFSET(Full_Print,0,0,'Tab 9 - WWTP Capital'!Last_Row)</definedName>
    <definedName name="Print_Area_Reset">OFFSET(Full_Print,0,0,Last_Row)</definedName>
    <definedName name="_xlnm.Print_Titles" localSheetId="9">'Tab 9 - WWTP Capital'!$5:$5</definedName>
    <definedName name="Print_Titles_MI" localSheetId="1">#REF!,#REF!</definedName>
    <definedName name="Print_Titles_MI" localSheetId="10">#REF!,#REF!</definedName>
    <definedName name="Print_Titles_MI" localSheetId="2">#REF!,#REF!</definedName>
    <definedName name="Print_Titles_MI" localSheetId="4">#REF!,#REF!</definedName>
    <definedName name="Print_Titles_MI" localSheetId="5">#REF!,#REF!</definedName>
    <definedName name="Print_Titles_MI" localSheetId="7">#REF!,#REF!</definedName>
    <definedName name="Print_Titles_MI" localSheetId="9">#REF!,#REF!</definedName>
    <definedName name="Print_Titles_MI">#REF!,#REF!</definedName>
    <definedName name="rate_increase">[2]Dashboard!$C$13:$G$13</definedName>
    <definedName name="Relative_Year_Paid">'[1]Rcvd 2012-2014 AA'!$I$2:$I$2194</definedName>
    <definedName name="Relative_Year_Paid_NoDrain">'[1]2012-2014 AA NO DRAINAGE'!$I$2:$I$1727</definedName>
    <definedName name="rr" localSheetId="1">'[3]Ver 1 - Loan beg 2009'!#REF!</definedName>
    <definedName name="rr" localSheetId="10">'[3]Ver 1 - Loan beg 2009'!#REF!</definedName>
    <definedName name="rr" localSheetId="2">'[3]Ver 1 - Loan beg 2009'!#REF!</definedName>
    <definedName name="rr" localSheetId="4">'[3]Ver 1 - Loan beg 2009'!#REF!</definedName>
    <definedName name="rr" localSheetId="5">'[3]Ver 1 - Loan beg 2009'!#REF!</definedName>
    <definedName name="rr" localSheetId="7">'[3]Ver 1 - Loan beg 2009'!#REF!</definedName>
    <definedName name="rr" localSheetId="9">'[3]Ver 1 - Loan beg 2009'!#REF!</definedName>
    <definedName name="rr">'[3]Ver 1 - Loan beg 2009'!#REF!</definedName>
    <definedName name="s" localSheetId="1">#REF!</definedName>
    <definedName name="s" localSheetId="10">#REF!</definedName>
    <definedName name="s" localSheetId="2">#REF!</definedName>
    <definedName name="s" localSheetId="4">#REF!</definedName>
    <definedName name="s" localSheetId="5">#REF!</definedName>
    <definedName name="s" localSheetId="7">#REF!</definedName>
    <definedName name="s" localSheetId="9">#REF!</definedName>
    <definedName name="s">#REF!</definedName>
    <definedName name="Sched_Pay" localSheetId="1">#REF!</definedName>
    <definedName name="Sched_Pay" localSheetId="2">#REF!</definedName>
    <definedName name="Sched_Pay" localSheetId="7">#REF!</definedName>
    <definedName name="Sched_Pay">#REF!</definedName>
    <definedName name="Scheduled_Extra_Payments" localSheetId="1">#REF!</definedName>
    <definedName name="Scheduled_Extra_Payments" localSheetId="2">#REF!</definedName>
    <definedName name="Scheduled_Extra_Payments" localSheetId="7">#REF!</definedName>
    <definedName name="Scheduled_Extra_Payments">#REF!</definedName>
    <definedName name="Scheduled_Interest_Rate" localSheetId="1">#REF!</definedName>
    <definedName name="Scheduled_Interest_Rate" localSheetId="2">#REF!</definedName>
    <definedName name="Scheduled_Interest_Rate" localSheetId="7">#REF!</definedName>
    <definedName name="Scheduled_Interest_Rate">#REF!</definedName>
    <definedName name="Scheduled_Monthly_Payment" localSheetId="1">#REF!</definedName>
    <definedName name="Scheduled_Monthly_Payment" localSheetId="2">#REF!</definedName>
    <definedName name="Scheduled_Monthly_Payment" localSheetId="7">#REF!</definedName>
    <definedName name="Scheduled_Monthly_Payment">#REF!</definedName>
    <definedName name="SFD" localSheetId="1">[4]P840!#REF!</definedName>
    <definedName name="SFD" localSheetId="2">[4]P840!#REF!</definedName>
    <definedName name="SFD" localSheetId="7">[4]P840!#REF!</definedName>
    <definedName name="SFD">[4]P840!#REF!</definedName>
    <definedName name="t" localSheetId="1">#REF!</definedName>
    <definedName name="t" localSheetId="10">#REF!</definedName>
    <definedName name="t" localSheetId="2">#REF!</definedName>
    <definedName name="t" localSheetId="4">#REF!</definedName>
    <definedName name="t" localSheetId="5">#REF!</definedName>
    <definedName name="t" localSheetId="7">#REF!</definedName>
    <definedName name="t" localSheetId="9">#REF!</definedName>
    <definedName name="t">#REF!</definedName>
    <definedName name="Table_UniqueID">[1]TOOL_UID3!$F$2:$G$764</definedName>
    <definedName name="Table_UniqueID_NoDrain">[1]TOOL_UID_2!$A$1:$B$583</definedName>
    <definedName name="TOOL_AgreementSector">'[1]TOOL_Agreement Sectors'!$A$2:$D$327</definedName>
    <definedName name="TOOL_Levy_Types">[1]TOOL_LevyTypes!$C$5:$D$29</definedName>
    <definedName name="Total_Interest" localSheetId="1">#REF!</definedName>
    <definedName name="Total_Interest" localSheetId="10">#REF!</definedName>
    <definedName name="Total_Interest" localSheetId="2">#REF!</definedName>
    <definedName name="Total_Interest" localSheetId="4">#REF!</definedName>
    <definedName name="Total_Interest" localSheetId="5">#REF!</definedName>
    <definedName name="Total_Interest" localSheetId="7">#REF!</definedName>
    <definedName name="Total_Interest" localSheetId="9">#REF!</definedName>
    <definedName name="Total_Interest">#REF!</definedName>
    <definedName name="Total_Pay" localSheetId="1">#REF!</definedName>
    <definedName name="Total_Pay" localSheetId="2">#REF!</definedName>
    <definedName name="Total_Pay" localSheetId="7">#REF!</definedName>
    <definedName name="Total_Pay">#REF!</definedName>
    <definedName name="u" localSheetId="1">'[3]Ver 1 - Loan beg 2009'!#REF!</definedName>
    <definedName name="u" localSheetId="2">'[3]Ver 1 - Loan beg 2009'!#REF!</definedName>
    <definedName name="u" localSheetId="7">'[3]Ver 1 - Loan beg 2009'!#REF!</definedName>
    <definedName name="u">'[3]Ver 1 - Loan beg 2009'!#REF!</definedName>
    <definedName name="UniqueID_Amount_NoDrain">[1]TOOL_UID_1!$B$2:$B$1548</definedName>
    <definedName name="UniqueID_NoDrain">[1]TOOL_UID_1!$A$2:$A$1547</definedName>
    <definedName name="v" localSheetId="1">#REF!</definedName>
    <definedName name="v" localSheetId="10">#REF!</definedName>
    <definedName name="v" localSheetId="2">#REF!</definedName>
    <definedName name="v" localSheetId="4">#REF!</definedName>
    <definedName name="v" localSheetId="5">#REF!</definedName>
    <definedName name="v" localSheetId="7">#REF!</definedName>
    <definedName name="v" localSheetId="9">#REF!</definedName>
    <definedName name="v">#REF!</definedName>
    <definedName name="Values_Entered" localSheetId="1">IF('Tab 1 - WTP Summary'!Loan_Amount*'Tab 1 - WTP Summary'!Interest_Rate*'Tab 1 - WTP Summary'!Loan_Years*'Tab 1 - WTP Summary'!Loan_Start&gt;0,1,0)</definedName>
    <definedName name="Values_Entered" localSheetId="10">IF('Tab 10 - WWTP Capacity'!Loan_Amount*Interest_Rate*Loan_Years*Loan_Start&gt;0,1,0)</definedName>
    <definedName name="Values_Entered" localSheetId="11">IF([0]!Loan_Amount*[0]!Interest_Rate*[0]!Loan_Years*[0]!Loan_Start&gt;0,1,0)</definedName>
    <definedName name="Values_Entered" localSheetId="2">IF('Tab 2 - WTP Future + Current'!Loan_Amount*'Tab 2 - WTP Future + Current'!Interest_Rate*'Tab 2 - WTP Future + Current'!Loan_Years*'Tab 2 - WTP Future + Current'!Loan_Start&gt;0,1,0)</definedName>
    <definedName name="Values_Entered" localSheetId="4">IF('Tab 4 - WTP Capital '!Loan_Amount*Interest_Rate*Loan_Years*Loan_Start&gt;0,1,0)</definedName>
    <definedName name="Values_Entered" localSheetId="5">IF('Tab 5 - WTP Capacity '!Loan_Amount*Interest_Rate*Loan_Years*Loan_Start&gt;0,1,0)</definedName>
    <definedName name="Values_Entered" localSheetId="7">IF('Tab 7 - WWTP Future + Current'!Loan_Amount*'Tab 7 - WWTP Future + Current'!Interest_Rate*'Tab 7 - WWTP Future + Current'!Loan_Years*'Tab 7 - WWTP Future + Current'!Loan_Start&gt;0,1,0)</definedName>
    <definedName name="Values_Entered" localSheetId="9">IF('Tab 9 - WWTP Capital'!Loan_Amount*Interest_Rate*Loan_Years*Loan_Start&gt;0,1,0)</definedName>
    <definedName name="Values_Entered">IF(Loan_Amount*Interest_Rate*Loan_Years*Loan_Start&gt;0,1,0)</definedName>
    <definedName name="x" localSheetId="1">[22]loan!#REF!</definedName>
    <definedName name="x" localSheetId="10">[22]loan!#REF!</definedName>
    <definedName name="x" localSheetId="11">[22]loan!#REF!</definedName>
    <definedName name="x" localSheetId="2">[22]loan!#REF!</definedName>
    <definedName name="x" localSheetId="4">[22]loan!#REF!</definedName>
    <definedName name="x" localSheetId="5">[22]loan!#REF!</definedName>
    <definedName name="x" localSheetId="7">[22]loan!#REF!</definedName>
    <definedName name="x" localSheetId="9">[22]loan!#REF!</definedName>
    <definedName name="x">[22]loan!#REF!</definedName>
    <definedName name="xx" localSheetId="1">#REF!</definedName>
    <definedName name="xx" localSheetId="10">#REF!</definedName>
    <definedName name="xx" localSheetId="2">#REF!</definedName>
    <definedName name="xx" localSheetId="4">#REF!</definedName>
    <definedName name="xx" localSheetId="5">#REF!</definedName>
    <definedName name="xx" localSheetId="7">#REF!</definedName>
    <definedName name="xx" localSheetId="9">#REF!</definedName>
    <definedName name="xx">#REF!</definedName>
    <definedName name="y" localSheetId="1">'[3]Ver 1 - Loan beg 2009'!#REF!</definedName>
    <definedName name="y" localSheetId="10">'[3]Ver 1 - Loan beg 2009'!#REF!</definedName>
    <definedName name="y" localSheetId="11">'[3]Ver 1 - Loan beg 2009'!#REF!</definedName>
    <definedName name="y" localSheetId="2">'[3]Ver 1 - Loan beg 2009'!#REF!</definedName>
    <definedName name="y" localSheetId="4">'[3]Ver 1 - Loan beg 2009'!#REF!</definedName>
    <definedName name="y" localSheetId="5">'[3]Ver 1 - Loan beg 2009'!#REF!</definedName>
    <definedName name="y" localSheetId="7">'[3]Ver 1 - Loan beg 2009'!#REF!</definedName>
    <definedName name="y" localSheetId="9">'[3]Ver 1 - Loan beg 2009'!#REF!</definedName>
    <definedName name="y">'[3]Ver 1 - Loan beg 2009'!#REF!</definedName>
    <definedName name="z" localSheetId="1">ROW(#REF!)</definedName>
    <definedName name="z" localSheetId="2">ROW(#REF!)</definedName>
    <definedName name="z" localSheetId="7">ROW(#REF!)</definedName>
    <definedName name="z">ROW(#REF!)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2" i="9" l="1"/>
  <c r="I10" i="6" l="1"/>
  <c r="J10" i="6"/>
  <c r="K10" i="6"/>
  <c r="L10" i="6"/>
  <c r="M10" i="6"/>
  <c r="N10" i="6"/>
  <c r="O10" i="6"/>
  <c r="P10" i="6"/>
  <c r="Q10" i="6"/>
  <c r="H10" i="6"/>
  <c r="G10" i="6"/>
  <c r="G37" i="6"/>
  <c r="F37" i="6"/>
  <c r="G20" i="6"/>
  <c r="F20" i="6"/>
  <c r="G12" i="6"/>
  <c r="F12" i="6"/>
  <c r="AJ11" i="5"/>
  <c r="AI14" i="5"/>
  <c r="J23" i="9" l="1"/>
  <c r="E52" i="9"/>
  <c r="E51" i="9"/>
  <c r="C51" i="9"/>
  <c r="B51" i="9"/>
  <c r="C58" i="8" l="1"/>
  <c r="D50" i="8"/>
  <c r="E50" i="8"/>
  <c r="AF60" i="8"/>
  <c r="AF62" i="8" s="1"/>
  <c r="AG60" i="8"/>
  <c r="AG62" i="8" s="1"/>
  <c r="C50" i="8"/>
  <c r="G35" i="8"/>
  <c r="F35" i="8"/>
  <c r="X28" i="8"/>
  <c r="G18" i="8"/>
  <c r="F18" i="8"/>
  <c r="F10" i="8" l="1"/>
  <c r="G10" i="8"/>
  <c r="H17" i="13" l="1"/>
  <c r="F14" i="13" l="1"/>
  <c r="D14" i="13"/>
  <c r="F13" i="13"/>
  <c r="D13" i="13"/>
  <c r="D9" i="13"/>
  <c r="D11" i="13" s="1"/>
  <c r="B35" i="10" l="1"/>
  <c r="D35" i="10"/>
  <c r="E35" i="10"/>
  <c r="E34" i="10"/>
  <c r="B34" i="10"/>
  <c r="AC14" i="5"/>
  <c r="AD14" i="5"/>
  <c r="AE14" i="5"/>
  <c r="AF14" i="5"/>
  <c r="AG14" i="5"/>
  <c r="AH14" i="5"/>
  <c r="AJ14" i="5"/>
  <c r="AK14" i="5"/>
  <c r="AL14" i="5"/>
  <c r="AM14" i="5"/>
  <c r="AN14" i="5"/>
  <c r="AO14" i="5"/>
  <c r="AP14" i="5"/>
  <c r="AQ14" i="5"/>
  <c r="AR14" i="5"/>
  <c r="AS14" i="5"/>
  <c r="AT14" i="5"/>
  <c r="AU14" i="5"/>
  <c r="X14" i="5"/>
  <c r="AV14" i="5" l="1"/>
  <c r="AX19" i="7"/>
  <c r="AY19" i="7"/>
  <c r="N19" i="7"/>
  <c r="O19" i="7"/>
  <c r="P19" i="7"/>
  <c r="Q19" i="7"/>
  <c r="R19" i="7"/>
  <c r="S19" i="7"/>
  <c r="T19" i="7"/>
  <c r="U19" i="7"/>
  <c r="V19" i="7"/>
  <c r="W19" i="7"/>
  <c r="X19" i="7"/>
  <c r="Y19" i="7"/>
  <c r="C6" i="14"/>
  <c r="C13" i="13"/>
  <c r="C6" i="13"/>
  <c r="F17" i="13" l="1"/>
  <c r="C9" i="13"/>
  <c r="D6" i="9" l="1"/>
  <c r="D7" i="10"/>
  <c r="D8" i="10"/>
  <c r="D9" i="10"/>
  <c r="D10" i="10"/>
  <c r="D11" i="10"/>
  <c r="D12" i="10"/>
  <c r="D13" i="10"/>
  <c r="D14" i="10"/>
  <c r="D15" i="10"/>
  <c r="D16" i="10"/>
  <c r="D17" i="10"/>
  <c r="D18" i="10"/>
  <c r="D19" i="10"/>
  <c r="D20" i="10"/>
  <c r="D21" i="10"/>
  <c r="D22" i="10"/>
  <c r="D23" i="10"/>
  <c r="D24" i="10"/>
  <c r="D25" i="10"/>
  <c r="D26" i="10"/>
  <c r="D6" i="10"/>
  <c r="B13" i="13"/>
  <c r="C18" i="14"/>
  <c r="D51" i="9"/>
  <c r="E31" i="9"/>
  <c r="G9" i="9"/>
  <c r="F6" i="9"/>
  <c r="AK11" i="5"/>
  <c r="AF25" i="8" l="1"/>
  <c r="F41" i="8"/>
  <c r="F39" i="8"/>
  <c r="F22" i="8"/>
  <c r="C41" i="15"/>
  <c r="C34" i="15"/>
  <c r="C28" i="15"/>
  <c r="C22" i="15"/>
  <c r="C17" i="15"/>
  <c r="C11" i="15"/>
  <c r="D26" i="13"/>
  <c r="D25" i="13"/>
  <c r="C30" i="8" s="1"/>
  <c r="AA28" i="13"/>
  <c r="AA24" i="14"/>
  <c r="D10" i="14"/>
  <c r="D9" i="14"/>
  <c r="D11" i="14" s="1"/>
  <c r="D28" i="13" l="1"/>
  <c r="D31" i="13" s="1"/>
  <c r="D22" i="14"/>
  <c r="T24" i="14"/>
  <c r="H4" i="8" l="1"/>
  <c r="H35" i="8" s="1"/>
  <c r="B32" i="10"/>
  <c r="D32" i="10" s="1"/>
  <c r="I4" i="8" l="1"/>
  <c r="I35" i="8" s="1"/>
  <c r="H18" i="8"/>
  <c r="H10" i="8"/>
  <c r="B36" i="10"/>
  <c r="D34" i="10"/>
  <c r="D36" i="10" s="1"/>
  <c r="E36" i="10"/>
  <c r="E38" i="10" s="1"/>
  <c r="J4" i="8" l="1"/>
  <c r="J35" i="8" s="1"/>
  <c r="I18" i="8"/>
  <c r="I10" i="8"/>
  <c r="AC12" i="5"/>
  <c r="N11" i="14"/>
  <c r="I11" i="14"/>
  <c r="C11" i="14"/>
  <c r="K4" i="8" l="1"/>
  <c r="K35" i="8" s="1"/>
  <c r="J18" i="8"/>
  <c r="J10" i="8"/>
  <c r="E8" i="1"/>
  <c r="E6" i="9"/>
  <c r="E7" i="9" s="1"/>
  <c r="E8" i="9" s="1"/>
  <c r="F22" i="9"/>
  <c r="F24" i="9"/>
  <c r="F26" i="9"/>
  <c r="D21" i="14"/>
  <c r="U24" i="14"/>
  <c r="V24" i="14"/>
  <c r="W24" i="14"/>
  <c r="X24" i="14"/>
  <c r="Y24" i="14"/>
  <c r="Z24" i="14"/>
  <c r="AB24" i="14"/>
  <c r="AC24" i="14"/>
  <c r="AD24" i="14"/>
  <c r="AE24" i="14"/>
  <c r="AF24" i="14"/>
  <c r="AG24" i="14"/>
  <c r="AH24" i="14"/>
  <c r="AI24" i="14"/>
  <c r="AJ24" i="14"/>
  <c r="AK24" i="14"/>
  <c r="AL24" i="14"/>
  <c r="AM24" i="14"/>
  <c r="AN24" i="14"/>
  <c r="AO24" i="14"/>
  <c r="AP24" i="14"/>
  <c r="AQ24" i="14"/>
  <c r="AR24" i="14"/>
  <c r="AS24" i="14"/>
  <c r="F16" i="5"/>
  <c r="G16" i="5"/>
  <c r="H16" i="5"/>
  <c r="I16" i="5"/>
  <c r="J16" i="5"/>
  <c r="K16" i="5"/>
  <c r="L16" i="5"/>
  <c r="M16" i="5"/>
  <c r="N16" i="5"/>
  <c r="O16" i="5"/>
  <c r="P16" i="5"/>
  <c r="Q16" i="5"/>
  <c r="R16" i="5"/>
  <c r="S16" i="5"/>
  <c r="T16" i="5"/>
  <c r="U16" i="5"/>
  <c r="V16" i="5"/>
  <c r="W16" i="5"/>
  <c r="E16" i="5"/>
  <c r="AU15" i="5"/>
  <c r="AT15" i="5"/>
  <c r="AS15" i="5"/>
  <c r="AR15" i="5"/>
  <c r="AQ15" i="5"/>
  <c r="AP15" i="5"/>
  <c r="AO15" i="5"/>
  <c r="AN15" i="5"/>
  <c r="AM15" i="5"/>
  <c r="AL15" i="5"/>
  <c r="AK15" i="5"/>
  <c r="AJ15" i="5"/>
  <c r="AI15" i="5"/>
  <c r="AH15" i="5"/>
  <c r="AG15" i="5"/>
  <c r="AF15" i="5"/>
  <c r="AE15" i="5"/>
  <c r="AD15" i="5"/>
  <c r="AC15" i="5"/>
  <c r="X15" i="5"/>
  <c r="AU9" i="5"/>
  <c r="AT9" i="5"/>
  <c r="AS9" i="5"/>
  <c r="AR9" i="5"/>
  <c r="AQ9" i="5"/>
  <c r="AP9" i="5"/>
  <c r="AO9" i="5"/>
  <c r="AN9" i="5"/>
  <c r="AM9" i="5"/>
  <c r="AL9" i="5"/>
  <c r="AK9" i="5"/>
  <c r="AJ9" i="5"/>
  <c r="AI9" i="5"/>
  <c r="AH9" i="5"/>
  <c r="AG9" i="5"/>
  <c r="AF9" i="5"/>
  <c r="AE9" i="5"/>
  <c r="AD9" i="5"/>
  <c r="AC9" i="5"/>
  <c r="X9" i="5"/>
  <c r="AU13" i="5"/>
  <c r="AT13" i="5"/>
  <c r="AS13" i="5"/>
  <c r="AR13" i="5"/>
  <c r="AQ13" i="5"/>
  <c r="AP13" i="5"/>
  <c r="AO13" i="5"/>
  <c r="AN13" i="5"/>
  <c r="AM13" i="5"/>
  <c r="AL13" i="5"/>
  <c r="AK13" i="5"/>
  <c r="AJ13" i="5"/>
  <c r="AI13" i="5"/>
  <c r="AH13" i="5"/>
  <c r="AG13" i="5"/>
  <c r="AF13" i="5"/>
  <c r="AE13" i="5"/>
  <c r="AD13" i="5"/>
  <c r="AC13" i="5"/>
  <c r="X13" i="5"/>
  <c r="AU12" i="5"/>
  <c r="AT12" i="5"/>
  <c r="AS12" i="5"/>
  <c r="AR12" i="5"/>
  <c r="AQ12" i="5"/>
  <c r="AP12" i="5"/>
  <c r="AO12" i="5"/>
  <c r="AN12" i="5"/>
  <c r="AM12" i="5"/>
  <c r="AL12" i="5"/>
  <c r="AK12" i="5"/>
  <c r="AJ12" i="5"/>
  <c r="AI12" i="5"/>
  <c r="AH12" i="5"/>
  <c r="AG12" i="5"/>
  <c r="AF12" i="5"/>
  <c r="AE12" i="5"/>
  <c r="AD12" i="5"/>
  <c r="X12" i="5"/>
  <c r="AR11" i="14"/>
  <c r="AS11" i="14"/>
  <c r="AC11" i="14"/>
  <c r="H12" i="6"/>
  <c r="I12" i="6" s="1"/>
  <c r="J12" i="6" s="1"/>
  <c r="K12" i="6" s="1"/>
  <c r="L12" i="6" s="1"/>
  <c r="M12" i="6" s="1"/>
  <c r="N12" i="6" s="1"/>
  <c r="O12" i="6" s="1"/>
  <c r="P12" i="6" s="1"/>
  <c r="Q12" i="6" s="1"/>
  <c r="R12" i="6" s="1"/>
  <c r="S12" i="6" s="1"/>
  <c r="T12" i="6" s="1"/>
  <c r="U12" i="6" s="1"/>
  <c r="V12" i="6" s="1"/>
  <c r="W12" i="6" s="1"/>
  <c r="X12" i="6" s="1"/>
  <c r="Y12" i="6" s="1"/>
  <c r="Z12" i="6" s="1"/>
  <c r="AA12" i="6" s="1"/>
  <c r="AB12" i="6" s="1"/>
  <c r="AC12" i="6" s="1"/>
  <c r="AD12" i="6" s="1"/>
  <c r="AE12" i="6" s="1"/>
  <c r="AF12" i="6" s="1"/>
  <c r="L11" i="14"/>
  <c r="K11" i="14"/>
  <c r="F11" i="14"/>
  <c r="E11" i="14"/>
  <c r="E12" i="3"/>
  <c r="L4" i="8" l="1"/>
  <c r="L35" i="8" s="1"/>
  <c r="K18" i="8"/>
  <c r="K10" i="8"/>
  <c r="D24" i="14"/>
  <c r="AV15" i="5"/>
  <c r="AV13" i="5"/>
  <c r="AV9" i="5"/>
  <c r="AV12" i="5"/>
  <c r="M4" i="8" l="1"/>
  <c r="M35" i="8" s="1"/>
  <c r="L18" i="8"/>
  <c r="L10" i="8"/>
  <c r="C47" i="15"/>
  <c r="E50" i="15"/>
  <c r="E36" i="15"/>
  <c r="E29" i="15"/>
  <c r="H25" i="15"/>
  <c r="G25" i="15"/>
  <c r="E25" i="15" s="1"/>
  <c r="E13" i="15"/>
  <c r="G49" i="15"/>
  <c r="E49" i="15" s="1"/>
  <c r="H49" i="15"/>
  <c r="I49" i="15"/>
  <c r="J49" i="15"/>
  <c r="K49" i="15"/>
  <c r="L49" i="15"/>
  <c r="F49" i="15"/>
  <c r="G48" i="15"/>
  <c r="E48" i="15" s="1"/>
  <c r="H48" i="15"/>
  <c r="I48" i="15"/>
  <c r="J48" i="15"/>
  <c r="K48" i="15"/>
  <c r="L48" i="15"/>
  <c r="F48" i="15"/>
  <c r="G44" i="15"/>
  <c r="E44" i="15" s="1"/>
  <c r="H44" i="15"/>
  <c r="I44" i="15"/>
  <c r="J44" i="15"/>
  <c r="K44" i="15"/>
  <c r="L44" i="15"/>
  <c r="F44" i="15"/>
  <c r="G43" i="15"/>
  <c r="E43" i="15" s="1"/>
  <c r="H43" i="15"/>
  <c r="F43" i="15"/>
  <c r="H42" i="15"/>
  <c r="G42" i="15"/>
  <c r="E42" i="15" s="1"/>
  <c r="G38" i="15"/>
  <c r="E38" i="15" s="1"/>
  <c r="H38" i="15"/>
  <c r="I38" i="15"/>
  <c r="J38" i="15"/>
  <c r="K38" i="15"/>
  <c r="L38" i="15"/>
  <c r="F38" i="15"/>
  <c r="G37" i="15"/>
  <c r="E37" i="15" s="1"/>
  <c r="H37" i="15"/>
  <c r="I37" i="15"/>
  <c r="J37" i="15"/>
  <c r="K37" i="15"/>
  <c r="L37" i="15"/>
  <c r="F37" i="15"/>
  <c r="H35" i="15"/>
  <c r="G35" i="15"/>
  <c r="E35" i="15" s="1"/>
  <c r="G31" i="15"/>
  <c r="E31" i="15" s="1"/>
  <c r="H31" i="15"/>
  <c r="I31" i="15"/>
  <c r="J31" i="15"/>
  <c r="K31" i="15"/>
  <c r="L31" i="15"/>
  <c r="F31" i="15"/>
  <c r="G30" i="15"/>
  <c r="E30" i="15" s="1"/>
  <c r="H30" i="15"/>
  <c r="F30" i="15"/>
  <c r="G14" i="15"/>
  <c r="E14" i="15" s="1"/>
  <c r="H14" i="15"/>
  <c r="F14" i="15"/>
  <c r="G12" i="15"/>
  <c r="E12" i="15" s="1"/>
  <c r="H12" i="15"/>
  <c r="F12" i="15"/>
  <c r="G9" i="15"/>
  <c r="E9" i="15" s="1"/>
  <c r="H9" i="15"/>
  <c r="I9" i="15"/>
  <c r="J9" i="15"/>
  <c r="K9" i="15"/>
  <c r="L9" i="15"/>
  <c r="F9" i="15"/>
  <c r="N4" i="8" l="1"/>
  <c r="N35" i="8" s="1"/>
  <c r="M18" i="8"/>
  <c r="M10" i="8"/>
  <c r="C53" i="15"/>
  <c r="O4" i="8" l="1"/>
  <c r="O35" i="8" s="1"/>
  <c r="N18" i="8"/>
  <c r="N10" i="8"/>
  <c r="F15" i="15"/>
  <c r="M50" i="15"/>
  <c r="E47" i="15"/>
  <c r="F36" i="15"/>
  <c r="M36" i="15" s="1"/>
  <c r="M35" i="15"/>
  <c r="F29" i="15"/>
  <c r="M29" i="15" s="1"/>
  <c r="F24" i="15"/>
  <c r="M24" i="15" s="1"/>
  <c r="F23" i="15"/>
  <c r="M23" i="15" s="1"/>
  <c r="F19" i="15"/>
  <c r="M19" i="15" s="1"/>
  <c r="F18" i="15"/>
  <c r="M18" i="15" s="1"/>
  <c r="F13" i="15"/>
  <c r="M13" i="15" s="1"/>
  <c r="M12" i="15"/>
  <c r="P4" i="8" l="1"/>
  <c r="P35" i="8" s="1"/>
  <c r="O18" i="8"/>
  <c r="O10" i="8"/>
  <c r="G15" i="15"/>
  <c r="E15" i="15" s="1"/>
  <c r="H15" i="15"/>
  <c r="E28" i="15"/>
  <c r="E34" i="15"/>
  <c r="M43" i="15"/>
  <c r="M30" i="15"/>
  <c r="M25" i="15"/>
  <c r="E22" i="15"/>
  <c r="M31" i="15"/>
  <c r="M42" i="15"/>
  <c r="E41" i="15"/>
  <c r="M44" i="15"/>
  <c r="Q4" i="8" l="1"/>
  <c r="Q35" i="8" s="1"/>
  <c r="P18" i="8"/>
  <c r="P10" i="8"/>
  <c r="J53" i="15"/>
  <c r="J56" i="15" s="1"/>
  <c r="M38" i="15"/>
  <c r="M14" i="15"/>
  <c r="K53" i="15"/>
  <c r="K56" i="15" s="1"/>
  <c r="I53" i="15"/>
  <c r="I56" i="15" s="1"/>
  <c r="L53" i="15"/>
  <c r="L56" i="15" s="1"/>
  <c r="M49" i="15"/>
  <c r="F53" i="15"/>
  <c r="F56" i="15" s="1"/>
  <c r="M48" i="15"/>
  <c r="M37" i="15"/>
  <c r="C56" i="15"/>
  <c r="M9" i="15"/>
  <c r="R4" i="8" l="1"/>
  <c r="R35" i="8" s="1"/>
  <c r="Q18" i="8"/>
  <c r="Q10" i="8"/>
  <c r="Z59" i="6"/>
  <c r="AA59" i="6"/>
  <c r="AB59" i="6"/>
  <c r="AC59" i="6"/>
  <c r="AD59" i="6"/>
  <c r="AE59" i="6"/>
  <c r="AF59" i="6"/>
  <c r="X58" i="8"/>
  <c r="Y58" i="8"/>
  <c r="Z58" i="8"/>
  <c r="AA58" i="8"/>
  <c r="AB58" i="8"/>
  <c r="AC58" i="8"/>
  <c r="AD58" i="8"/>
  <c r="AE58" i="8"/>
  <c r="AF58" i="8"/>
  <c r="Z30" i="8"/>
  <c r="AA30" i="8"/>
  <c r="AB30" i="8"/>
  <c r="AC30" i="8"/>
  <c r="AD30" i="8"/>
  <c r="AE30" i="8"/>
  <c r="AF30" i="8"/>
  <c r="S4" i="8" l="1"/>
  <c r="S35" i="8" s="1"/>
  <c r="R18" i="8"/>
  <c r="R10" i="8"/>
  <c r="J26" i="9"/>
  <c r="J24" i="9"/>
  <c r="A47" i="9"/>
  <c r="B47" i="9"/>
  <c r="C47" i="9"/>
  <c r="A43" i="9"/>
  <c r="B43" i="9"/>
  <c r="C43" i="9"/>
  <c r="A44" i="9"/>
  <c r="B44" i="9"/>
  <c r="C44" i="9"/>
  <c r="A45" i="9"/>
  <c r="B45" i="9"/>
  <c r="C45" i="9"/>
  <c r="A46" i="9"/>
  <c r="B46" i="9"/>
  <c r="C46" i="9"/>
  <c r="U8" i="6"/>
  <c r="AC8" i="6"/>
  <c r="H14" i="6"/>
  <c r="I14" i="6"/>
  <c r="J14" i="6"/>
  <c r="K14" i="6"/>
  <c r="L14" i="6"/>
  <c r="M14" i="6"/>
  <c r="N14" i="6"/>
  <c r="O14" i="6"/>
  <c r="P14" i="6"/>
  <c r="Q14" i="6"/>
  <c r="R14" i="6"/>
  <c r="S14" i="6"/>
  <c r="T14" i="6"/>
  <c r="U14" i="6"/>
  <c r="G14" i="6"/>
  <c r="X8" i="5"/>
  <c r="X11" i="5"/>
  <c r="AC8" i="5"/>
  <c r="AD8" i="5"/>
  <c r="AE8" i="5"/>
  <c r="AF8" i="5"/>
  <c r="AG8" i="5"/>
  <c r="AH8" i="5"/>
  <c r="AI8" i="5"/>
  <c r="AJ8" i="5"/>
  <c r="AK8" i="5"/>
  <c r="AL8" i="5"/>
  <c r="AM8" i="5"/>
  <c r="AN8" i="5"/>
  <c r="AO8" i="5"/>
  <c r="AP8" i="5"/>
  <c r="AQ8" i="5"/>
  <c r="AR8" i="5"/>
  <c r="AS8" i="5"/>
  <c r="AT8" i="5"/>
  <c r="AU8" i="5"/>
  <c r="AC11" i="5"/>
  <c r="AD11" i="5"/>
  <c r="AE11" i="5"/>
  <c r="AF11" i="5"/>
  <c r="AG11" i="5"/>
  <c r="AH11" i="5"/>
  <c r="AI11" i="5"/>
  <c r="AL11" i="5"/>
  <c r="AM11" i="5"/>
  <c r="AN11" i="5"/>
  <c r="AO11" i="5"/>
  <c r="AP11" i="5"/>
  <c r="AQ11" i="5"/>
  <c r="AR11" i="5"/>
  <c r="AS11" i="5"/>
  <c r="AT11" i="5"/>
  <c r="AU11" i="5"/>
  <c r="T4" i="8" l="1"/>
  <c r="T35" i="8" s="1"/>
  <c r="S18" i="8"/>
  <c r="S10" i="8"/>
  <c r="E53" i="9"/>
  <c r="C10" i="1"/>
  <c r="AD16" i="5"/>
  <c r="AC16" i="5"/>
  <c r="AR16" i="5"/>
  <c r="P48" i="6" s="1"/>
  <c r="Q48" i="6" s="1"/>
  <c r="R48" i="6" s="1"/>
  <c r="S48" i="6" s="1"/>
  <c r="T48" i="6" s="1"/>
  <c r="U48" i="6" s="1"/>
  <c r="V48" i="6" s="1"/>
  <c r="W48" i="6" s="1"/>
  <c r="X48" i="6" s="1"/>
  <c r="Y48" i="6" s="1"/>
  <c r="Z48" i="6" s="1"/>
  <c r="AS16" i="5"/>
  <c r="Q49" i="6" s="1"/>
  <c r="AL16" i="5"/>
  <c r="J42" i="6" s="1"/>
  <c r="K42" i="6" s="1"/>
  <c r="L42" i="6" s="1"/>
  <c r="M42" i="6" s="1"/>
  <c r="N42" i="6" s="1"/>
  <c r="O42" i="6" s="1"/>
  <c r="P42" i="6" s="1"/>
  <c r="Q42" i="6" s="1"/>
  <c r="R42" i="6" s="1"/>
  <c r="S42" i="6" s="1"/>
  <c r="T42" i="6" s="1"/>
  <c r="AK16" i="5"/>
  <c r="I41" i="6" s="1"/>
  <c r="AJ16" i="5"/>
  <c r="H40" i="6" s="1"/>
  <c r="AQ16" i="5"/>
  <c r="O47" i="6" s="1"/>
  <c r="P47" i="6" s="1"/>
  <c r="Q47" i="6" s="1"/>
  <c r="R47" i="6" s="1"/>
  <c r="S47" i="6" s="1"/>
  <c r="T47" i="6" s="1"/>
  <c r="U47" i="6" s="1"/>
  <c r="V47" i="6" s="1"/>
  <c r="W47" i="6" s="1"/>
  <c r="X47" i="6" s="1"/>
  <c r="Y47" i="6" s="1"/>
  <c r="AI16" i="5"/>
  <c r="AH16" i="5"/>
  <c r="AG16" i="5"/>
  <c r="AF16" i="5"/>
  <c r="AM16" i="5"/>
  <c r="K43" i="6" s="1"/>
  <c r="L43" i="6" s="1"/>
  <c r="M43" i="6" s="1"/>
  <c r="N43" i="6" s="1"/>
  <c r="O43" i="6" s="1"/>
  <c r="P43" i="6" s="1"/>
  <c r="Q43" i="6" s="1"/>
  <c r="R43" i="6" s="1"/>
  <c r="S43" i="6" s="1"/>
  <c r="T43" i="6" s="1"/>
  <c r="U43" i="6" s="1"/>
  <c r="AE16" i="5"/>
  <c r="AU16" i="5"/>
  <c r="S51" i="6" s="1"/>
  <c r="T51" i="6" s="1"/>
  <c r="U51" i="6" s="1"/>
  <c r="V51" i="6" s="1"/>
  <c r="W51" i="6" s="1"/>
  <c r="X51" i="6" s="1"/>
  <c r="Y51" i="6" s="1"/>
  <c r="Z51" i="6" s="1"/>
  <c r="AA51" i="6" s="1"/>
  <c r="AB51" i="6" s="1"/>
  <c r="AC51" i="6" s="1"/>
  <c r="AT16" i="5"/>
  <c r="R50" i="6" s="1"/>
  <c r="S50" i="6" s="1"/>
  <c r="T50" i="6" s="1"/>
  <c r="U50" i="6" s="1"/>
  <c r="V50" i="6" s="1"/>
  <c r="W50" i="6" s="1"/>
  <c r="X50" i="6" s="1"/>
  <c r="Y50" i="6" s="1"/>
  <c r="Z50" i="6" s="1"/>
  <c r="AA50" i="6" s="1"/>
  <c r="AB50" i="6" s="1"/>
  <c r="X16" i="5"/>
  <c r="AP16" i="5"/>
  <c r="N46" i="6" s="1"/>
  <c r="O46" i="6" s="1"/>
  <c r="P46" i="6" s="1"/>
  <c r="Q46" i="6" s="1"/>
  <c r="R46" i="6" s="1"/>
  <c r="S46" i="6" s="1"/>
  <c r="T46" i="6" s="1"/>
  <c r="U46" i="6" s="1"/>
  <c r="V46" i="6" s="1"/>
  <c r="W46" i="6" s="1"/>
  <c r="X46" i="6" s="1"/>
  <c r="AO16" i="5"/>
  <c r="M45" i="6" s="1"/>
  <c r="N45" i="6" s="1"/>
  <c r="O45" i="6" s="1"/>
  <c r="P45" i="6" s="1"/>
  <c r="Q45" i="6" s="1"/>
  <c r="R45" i="6" s="1"/>
  <c r="S45" i="6" s="1"/>
  <c r="T45" i="6" s="1"/>
  <c r="U45" i="6" s="1"/>
  <c r="V45" i="6" s="1"/>
  <c r="W45" i="6" s="1"/>
  <c r="AN16" i="5"/>
  <c r="L44" i="6" s="1"/>
  <c r="AA8" i="6"/>
  <c r="Z8" i="6"/>
  <c r="AB8" i="6"/>
  <c r="Y8" i="6"/>
  <c r="AF8" i="6"/>
  <c r="X8" i="6"/>
  <c r="AE8" i="6"/>
  <c r="W8" i="6"/>
  <c r="AD8" i="6"/>
  <c r="V8" i="6"/>
  <c r="AF52" i="6"/>
  <c r="AF54" i="6" s="1"/>
  <c r="AE52" i="6"/>
  <c r="AE54" i="6" s="1"/>
  <c r="AD52" i="6"/>
  <c r="AD54" i="6" s="1"/>
  <c r="AV11" i="5"/>
  <c r="F52" i="6"/>
  <c r="F54" i="6" s="1"/>
  <c r="U4" i="8" l="1"/>
  <c r="U35" i="8" s="1"/>
  <c r="T18" i="8"/>
  <c r="T10" i="8"/>
  <c r="C42" i="6"/>
  <c r="G8" i="6"/>
  <c r="M44" i="6"/>
  <c r="N44" i="6" s="1"/>
  <c r="O44" i="6" s="1"/>
  <c r="P44" i="6" s="1"/>
  <c r="Q44" i="6" s="1"/>
  <c r="R44" i="6" s="1"/>
  <c r="S44" i="6" s="1"/>
  <c r="T44" i="6" s="1"/>
  <c r="U44" i="6" s="1"/>
  <c r="V44" i="6" s="1"/>
  <c r="E10" i="1"/>
  <c r="E12" i="1" s="1"/>
  <c r="J41" i="6"/>
  <c r="K41" i="6" s="1"/>
  <c r="L41" i="6" s="1"/>
  <c r="M41" i="6" s="1"/>
  <c r="N41" i="6" s="1"/>
  <c r="O41" i="6" s="1"/>
  <c r="P41" i="6" s="1"/>
  <c r="Q41" i="6" s="1"/>
  <c r="R41" i="6" s="1"/>
  <c r="S41" i="6" s="1"/>
  <c r="I40" i="6"/>
  <c r="J40" i="6" s="1"/>
  <c r="R49" i="6"/>
  <c r="S49" i="6" s="1"/>
  <c r="T49" i="6" s="1"/>
  <c r="U49" i="6" s="1"/>
  <c r="V49" i="6" s="1"/>
  <c r="W49" i="6" s="1"/>
  <c r="X49" i="6" s="1"/>
  <c r="Y49" i="6" s="1"/>
  <c r="Z49" i="6" s="1"/>
  <c r="AA49" i="6" s="1"/>
  <c r="C41" i="6"/>
  <c r="C51" i="6"/>
  <c r="P8" i="6"/>
  <c r="R8" i="6"/>
  <c r="S8" i="6"/>
  <c r="C40" i="6"/>
  <c r="C49" i="6"/>
  <c r="Q8" i="6"/>
  <c r="C50" i="6"/>
  <c r="V4" i="8" l="1"/>
  <c r="V35" i="8" s="1"/>
  <c r="U18" i="8"/>
  <c r="U10" i="8"/>
  <c r="C10" i="6"/>
  <c r="D44" i="6"/>
  <c r="C39" i="6"/>
  <c r="G39" i="6"/>
  <c r="H39" i="6" s="1"/>
  <c r="K40" i="6"/>
  <c r="L40" i="6" s="1"/>
  <c r="D41" i="6"/>
  <c r="D49" i="6"/>
  <c r="W4" i="8" l="1"/>
  <c r="W35" i="8" s="1"/>
  <c r="V18" i="8"/>
  <c r="V10" i="8"/>
  <c r="M40" i="6"/>
  <c r="N40" i="6" s="1"/>
  <c r="O40" i="6" s="1"/>
  <c r="P40" i="6" s="1"/>
  <c r="Q40" i="6" s="1"/>
  <c r="R40" i="6" s="1"/>
  <c r="I39" i="6"/>
  <c r="X4" i="8" l="1"/>
  <c r="X35" i="8" s="1"/>
  <c r="W18" i="8"/>
  <c r="W10" i="8"/>
  <c r="D40" i="6"/>
  <c r="J39" i="6"/>
  <c r="Y4" i="8" l="1"/>
  <c r="Y35" i="8" s="1"/>
  <c r="X18" i="8"/>
  <c r="X10" i="8"/>
  <c r="K39" i="6"/>
  <c r="E25" i="9"/>
  <c r="F25" i="9" s="1"/>
  <c r="E23" i="9"/>
  <c r="F23" i="9" s="1"/>
  <c r="F12" i="9"/>
  <c r="F9" i="9"/>
  <c r="D25" i="9"/>
  <c r="Z4" i="8" l="1"/>
  <c r="Z35" i="8" s="1"/>
  <c r="Y18" i="8"/>
  <c r="Y10" i="8"/>
  <c r="L39" i="6"/>
  <c r="E15" i="9"/>
  <c r="G26" i="9"/>
  <c r="J25" i="9"/>
  <c r="G24" i="9"/>
  <c r="E10" i="9"/>
  <c r="E13" i="9"/>
  <c r="F13" i="9" s="1"/>
  <c r="E14" i="9"/>
  <c r="F14" i="9" s="1"/>
  <c r="AA4" i="8" l="1"/>
  <c r="AA35" i="8" s="1"/>
  <c r="Z18" i="8"/>
  <c r="Z10" i="8"/>
  <c r="M39" i="6"/>
  <c r="E11" i="9"/>
  <c r="H12" i="9" s="1"/>
  <c r="F10" i="9"/>
  <c r="E16" i="9"/>
  <c r="F15" i="9"/>
  <c r="F7" i="9"/>
  <c r="Z54" i="8"/>
  <c r="X54" i="8"/>
  <c r="Y54" i="8"/>
  <c r="AY15" i="7"/>
  <c r="AE7" i="7"/>
  <c r="AF7" i="7"/>
  <c r="AG7" i="7"/>
  <c r="AH7" i="7"/>
  <c r="AI7" i="7"/>
  <c r="AJ7" i="7"/>
  <c r="AK7" i="7"/>
  <c r="AL7" i="7"/>
  <c r="AM7" i="7"/>
  <c r="AN7" i="7"/>
  <c r="AO7" i="7"/>
  <c r="AP7" i="7"/>
  <c r="AQ7" i="7"/>
  <c r="AR7" i="7"/>
  <c r="AS7" i="7"/>
  <c r="AT7" i="7"/>
  <c r="AU7" i="7"/>
  <c r="AV7" i="7"/>
  <c r="AW7" i="7"/>
  <c r="AX7" i="7"/>
  <c r="AY7" i="7"/>
  <c r="AE8" i="7"/>
  <c r="AF8" i="7"/>
  <c r="AG8" i="7"/>
  <c r="AH8" i="7"/>
  <c r="AI8" i="7"/>
  <c r="AJ8" i="7"/>
  <c r="AK8" i="7"/>
  <c r="AL8" i="7"/>
  <c r="AM8" i="7"/>
  <c r="AN8" i="7"/>
  <c r="AO8" i="7"/>
  <c r="AP8" i="7"/>
  <c r="AQ8" i="7"/>
  <c r="AR8" i="7"/>
  <c r="AS8" i="7"/>
  <c r="AT8" i="7"/>
  <c r="AU8" i="7"/>
  <c r="AV8" i="7"/>
  <c r="AW8" i="7"/>
  <c r="AX8" i="7"/>
  <c r="AY8" i="7"/>
  <c r="AE9" i="7"/>
  <c r="AF9" i="7"/>
  <c r="AG9" i="7"/>
  <c r="AH9" i="7"/>
  <c r="AI9" i="7"/>
  <c r="AJ9" i="7"/>
  <c r="AK9" i="7"/>
  <c r="AL9" i="7"/>
  <c r="AM9" i="7"/>
  <c r="AN9" i="7"/>
  <c r="AO9" i="7"/>
  <c r="AP9" i="7"/>
  <c r="AQ9" i="7"/>
  <c r="AR9" i="7"/>
  <c r="AS9" i="7"/>
  <c r="AT9" i="7"/>
  <c r="AU9" i="7"/>
  <c r="AV9" i="7"/>
  <c r="AW9" i="7"/>
  <c r="AX9" i="7"/>
  <c r="AY9" i="7"/>
  <c r="AE10" i="7"/>
  <c r="AF10" i="7"/>
  <c r="AG10" i="7"/>
  <c r="AH10" i="7"/>
  <c r="AI10" i="7"/>
  <c r="AJ10" i="7"/>
  <c r="AK10" i="7"/>
  <c r="AL10" i="7"/>
  <c r="AM10" i="7"/>
  <c r="AN10" i="7"/>
  <c r="AO10" i="7"/>
  <c r="AP10" i="7"/>
  <c r="AQ10" i="7"/>
  <c r="AR10" i="7"/>
  <c r="AS10" i="7"/>
  <c r="AT10" i="7"/>
  <c r="AU10" i="7"/>
  <c r="AV10" i="7"/>
  <c r="AW10" i="7"/>
  <c r="AX10" i="7"/>
  <c r="AY10" i="7"/>
  <c r="AE11" i="7"/>
  <c r="AF11" i="7"/>
  <c r="AG11" i="7"/>
  <c r="AH11" i="7"/>
  <c r="AI11" i="7"/>
  <c r="AJ11" i="7"/>
  <c r="AK11" i="7"/>
  <c r="AL11" i="7"/>
  <c r="AM11" i="7"/>
  <c r="AN11" i="7"/>
  <c r="AO11" i="7"/>
  <c r="AP11" i="7"/>
  <c r="AQ11" i="7"/>
  <c r="AR11" i="7"/>
  <c r="AS11" i="7"/>
  <c r="AT11" i="7"/>
  <c r="AU11" i="7"/>
  <c r="AV11" i="7"/>
  <c r="AW11" i="7"/>
  <c r="AX11" i="7"/>
  <c r="AY11" i="7"/>
  <c r="AE12" i="7"/>
  <c r="AF12" i="7"/>
  <c r="AG12" i="7"/>
  <c r="AH12" i="7"/>
  <c r="AI12" i="7"/>
  <c r="AJ12" i="7"/>
  <c r="AK12" i="7"/>
  <c r="AL12" i="7"/>
  <c r="AM12" i="7"/>
  <c r="AN12" i="7"/>
  <c r="AO12" i="7"/>
  <c r="AP12" i="7"/>
  <c r="AQ12" i="7"/>
  <c r="AR12" i="7"/>
  <c r="AS12" i="7"/>
  <c r="AT12" i="7"/>
  <c r="AU12" i="7"/>
  <c r="AV12" i="7"/>
  <c r="AW12" i="7"/>
  <c r="AX12" i="7"/>
  <c r="AY12" i="7"/>
  <c r="AE13" i="7"/>
  <c r="AF13" i="7"/>
  <c r="AG13" i="7"/>
  <c r="AH13" i="7"/>
  <c r="AI13" i="7"/>
  <c r="AJ13" i="7"/>
  <c r="AK13" i="7"/>
  <c r="AL13" i="7"/>
  <c r="AM13" i="7"/>
  <c r="AN13" i="7"/>
  <c r="AO13" i="7"/>
  <c r="AP13" i="7"/>
  <c r="AQ13" i="7"/>
  <c r="AR13" i="7"/>
  <c r="AS13" i="7"/>
  <c r="AT13" i="7"/>
  <c r="AU13" i="7"/>
  <c r="AV13" i="7"/>
  <c r="AW13" i="7"/>
  <c r="AX13" i="7"/>
  <c r="AY13" i="7"/>
  <c r="AE14" i="7"/>
  <c r="AF14" i="7"/>
  <c r="AG14" i="7"/>
  <c r="AH14" i="7"/>
  <c r="AI14" i="7"/>
  <c r="AJ14" i="7"/>
  <c r="AK14" i="7"/>
  <c r="AL14" i="7"/>
  <c r="AM14" i="7"/>
  <c r="AN14" i="7"/>
  <c r="AO14" i="7"/>
  <c r="AO19" i="7" s="1"/>
  <c r="AP14" i="7"/>
  <c r="AQ14" i="7"/>
  <c r="AR14" i="7"/>
  <c r="AS14" i="7"/>
  <c r="AT14" i="7"/>
  <c r="AU14" i="7"/>
  <c r="AV14" i="7"/>
  <c r="AW14" i="7"/>
  <c r="AX14" i="7"/>
  <c r="AY14" i="7"/>
  <c r="AE15" i="7"/>
  <c r="AF15" i="7"/>
  <c r="AG15" i="7"/>
  <c r="AH15" i="7"/>
  <c r="AI15" i="7"/>
  <c r="AJ15" i="7"/>
  <c r="AK15" i="7"/>
  <c r="AL15" i="7"/>
  <c r="AM15" i="7"/>
  <c r="AN15" i="7"/>
  <c r="AO15" i="7"/>
  <c r="AP15" i="7"/>
  <c r="AQ15" i="7"/>
  <c r="AR15" i="7"/>
  <c r="AR19" i="7" s="1"/>
  <c r="AS15" i="7"/>
  <c r="AT15" i="7"/>
  <c r="AT19" i="7" s="1"/>
  <c r="AU15" i="7"/>
  <c r="AU19" i="7" s="1"/>
  <c r="AV15" i="7"/>
  <c r="AV19" i="7" s="1"/>
  <c r="AW15" i="7"/>
  <c r="AW19" i="7" s="1"/>
  <c r="AX15" i="7"/>
  <c r="AE16" i="7"/>
  <c r="AF16" i="7"/>
  <c r="AG16" i="7"/>
  <c r="AH16" i="7"/>
  <c r="AI16" i="7"/>
  <c r="AJ16" i="7"/>
  <c r="AK16" i="7"/>
  <c r="AL16" i="7"/>
  <c r="AM16" i="7"/>
  <c r="AN16" i="7"/>
  <c r="AO16" i="7"/>
  <c r="AP16" i="7"/>
  <c r="AQ16" i="7"/>
  <c r="AR16" i="7"/>
  <c r="AS16" i="7"/>
  <c r="AT16" i="7"/>
  <c r="AU16" i="7"/>
  <c r="AV16" i="7"/>
  <c r="AW16" i="7"/>
  <c r="AX16" i="7"/>
  <c r="AY16" i="7"/>
  <c r="AE17" i="7"/>
  <c r="AF17" i="7"/>
  <c r="AG17" i="7"/>
  <c r="AH17" i="7"/>
  <c r="AI17" i="7"/>
  <c r="AJ17" i="7"/>
  <c r="AK17" i="7"/>
  <c r="AL17" i="7"/>
  <c r="AM17" i="7"/>
  <c r="AN17" i="7"/>
  <c r="AO17" i="7"/>
  <c r="AP17" i="7"/>
  <c r="AQ17" i="7"/>
  <c r="AR17" i="7"/>
  <c r="AS17" i="7"/>
  <c r="AT17" i="7"/>
  <c r="AU17" i="7"/>
  <c r="AV17" i="7"/>
  <c r="AW17" i="7"/>
  <c r="AX17" i="7"/>
  <c r="AY17" i="7"/>
  <c r="AE18" i="7"/>
  <c r="AF18" i="7"/>
  <c r="AG18" i="7"/>
  <c r="AH18" i="7"/>
  <c r="AI18" i="7"/>
  <c r="AJ18" i="7"/>
  <c r="AK18" i="7"/>
  <c r="AL18" i="7"/>
  <c r="AM18" i="7"/>
  <c r="AN18" i="7"/>
  <c r="AO18" i="7"/>
  <c r="AP18" i="7"/>
  <c r="AQ18" i="7"/>
  <c r="AR18" i="7"/>
  <c r="AS18" i="7"/>
  <c r="AT18" i="7"/>
  <c r="AU18" i="7"/>
  <c r="AV18" i="7"/>
  <c r="AW18" i="7"/>
  <c r="AX18" i="7"/>
  <c r="AY18" i="7"/>
  <c r="AF6" i="7"/>
  <c r="AG6" i="7"/>
  <c r="AH6" i="7"/>
  <c r="AI6" i="7"/>
  <c r="AJ6" i="7"/>
  <c r="AK6" i="7"/>
  <c r="AL6" i="7"/>
  <c r="AM6" i="7"/>
  <c r="AN6" i="7"/>
  <c r="AO6" i="7"/>
  <c r="AP6" i="7"/>
  <c r="AQ6" i="7"/>
  <c r="AR6" i="7"/>
  <c r="AS6" i="7"/>
  <c r="AT6" i="7"/>
  <c r="AU6" i="7"/>
  <c r="AV6" i="7"/>
  <c r="AW6" i="7"/>
  <c r="AX6" i="7"/>
  <c r="AY6" i="7"/>
  <c r="AE6" i="7"/>
  <c r="T28" i="13"/>
  <c r="U28" i="13"/>
  <c r="V28" i="13"/>
  <c r="W28" i="13"/>
  <c r="X28" i="13"/>
  <c r="Y28" i="13"/>
  <c r="Z28" i="13"/>
  <c r="G30" i="8"/>
  <c r="AB28" i="13"/>
  <c r="H30" i="8" s="1"/>
  <c r="AC28" i="13"/>
  <c r="I30" i="8" s="1"/>
  <c r="AD28" i="13"/>
  <c r="J30" i="8" s="1"/>
  <c r="AE28" i="13"/>
  <c r="K30" i="8" s="1"/>
  <c r="AF28" i="13"/>
  <c r="L30" i="8" s="1"/>
  <c r="AG28" i="13"/>
  <c r="M30" i="8" s="1"/>
  <c r="AH28" i="13"/>
  <c r="N30" i="8" s="1"/>
  <c r="AI28" i="13"/>
  <c r="O30" i="8" s="1"/>
  <c r="AJ28" i="13"/>
  <c r="P30" i="8" s="1"/>
  <c r="AK28" i="13"/>
  <c r="Q30" i="8" s="1"/>
  <c r="AL28" i="13"/>
  <c r="R30" i="8" s="1"/>
  <c r="AM28" i="13"/>
  <c r="S30" i="8" s="1"/>
  <c r="AN28" i="13"/>
  <c r="T30" i="8" s="1"/>
  <c r="AO28" i="13"/>
  <c r="U30" i="8" s="1"/>
  <c r="AP28" i="13"/>
  <c r="V30" i="8" s="1"/>
  <c r="AQ28" i="13"/>
  <c r="W30" i="8" s="1"/>
  <c r="AR28" i="13"/>
  <c r="AS28" i="13"/>
  <c r="AB4" i="8" l="1"/>
  <c r="AB35" i="8" s="1"/>
  <c r="AA10" i="8"/>
  <c r="AS19" i="7"/>
  <c r="AQ19" i="7"/>
  <c r="AN19" i="7"/>
  <c r="AP19" i="7"/>
  <c r="F30" i="8"/>
  <c r="X30" i="8"/>
  <c r="AR31" i="13"/>
  <c r="Y30" i="8"/>
  <c r="AS31" i="13"/>
  <c r="F52" i="8"/>
  <c r="AF52" i="8"/>
  <c r="G52" i="8"/>
  <c r="N39" i="6"/>
  <c r="F8" i="9"/>
  <c r="E17" i="9"/>
  <c r="F16" i="9"/>
  <c r="F11" i="9"/>
  <c r="F28" i="8"/>
  <c r="AF28" i="8"/>
  <c r="D30" i="8" l="1"/>
  <c r="E30" i="8"/>
  <c r="AC4" i="8"/>
  <c r="AC35" i="8" s="1"/>
  <c r="AB10" i="8"/>
  <c r="O39" i="6"/>
  <c r="E18" i="9"/>
  <c r="F17" i="9"/>
  <c r="AD4" i="8" l="1"/>
  <c r="AD35" i="8" s="1"/>
  <c r="AC10" i="8"/>
  <c r="P39" i="6"/>
  <c r="E19" i="9"/>
  <c r="F18" i="9"/>
  <c r="AE4" i="8" l="1"/>
  <c r="AE35" i="8" s="1"/>
  <c r="AD10" i="8"/>
  <c r="Q39" i="6"/>
  <c r="E20" i="9"/>
  <c r="F19" i="9"/>
  <c r="AF4" i="8" l="1"/>
  <c r="AE10" i="8"/>
  <c r="D39" i="6"/>
  <c r="E39" i="6"/>
  <c r="E21" i="9"/>
  <c r="F21" i="9" s="1"/>
  <c r="F20" i="9"/>
  <c r="AC52" i="6"/>
  <c r="AC54" i="6" s="1"/>
  <c r="D51" i="6"/>
  <c r="E51" i="6"/>
  <c r="AF10" i="8" l="1"/>
  <c r="AF35" i="8"/>
  <c r="AB52" i="6"/>
  <c r="AB54" i="6" s="1"/>
  <c r="D50" i="6"/>
  <c r="E50" i="6"/>
  <c r="AA52" i="6"/>
  <c r="AA54" i="6" s="1"/>
  <c r="E49" i="6"/>
  <c r="AN26" i="7" l="1"/>
  <c r="H7" i="8" s="1"/>
  <c r="AO26" i="7"/>
  <c r="I7" i="8" s="1"/>
  <c r="AP26" i="7"/>
  <c r="J7" i="8" s="1"/>
  <c r="AQ26" i="7"/>
  <c r="K7" i="8" s="1"/>
  <c r="AR26" i="7"/>
  <c r="L7" i="8" s="1"/>
  <c r="AS26" i="7"/>
  <c r="M7" i="8" s="1"/>
  <c r="AT26" i="7"/>
  <c r="N7" i="8" s="1"/>
  <c r="AU26" i="7"/>
  <c r="O7" i="8" s="1"/>
  <c r="AV26" i="7"/>
  <c r="P7" i="8" s="1"/>
  <c r="AW26" i="7"/>
  <c r="Q7" i="8" s="1"/>
  <c r="AX26" i="7"/>
  <c r="R7" i="8" s="1"/>
  <c r="AY26" i="7"/>
  <c r="S7" i="8" s="1"/>
  <c r="AN27" i="7"/>
  <c r="H8" i="8" s="1"/>
  <c r="C38" i="8" s="1"/>
  <c r="AO27" i="7"/>
  <c r="I8" i="8" s="1"/>
  <c r="C39" i="8" s="1"/>
  <c r="AP27" i="7"/>
  <c r="J8" i="8" s="1"/>
  <c r="C40" i="8" s="1"/>
  <c r="AQ27" i="7"/>
  <c r="K8" i="8" s="1"/>
  <c r="C41" i="8" s="1"/>
  <c r="AR27" i="7"/>
  <c r="L8" i="8" s="1"/>
  <c r="C42" i="8" s="1"/>
  <c r="AS27" i="7"/>
  <c r="M8" i="8" s="1"/>
  <c r="C43" i="8" s="1"/>
  <c r="AT27" i="7"/>
  <c r="N8" i="8" s="1"/>
  <c r="C44" i="8" s="1"/>
  <c r="AU27" i="7"/>
  <c r="O8" i="8" s="1"/>
  <c r="C45" i="8" s="1"/>
  <c r="AV27" i="7"/>
  <c r="P8" i="8" s="1"/>
  <c r="C46" i="8" s="1"/>
  <c r="AW27" i="7"/>
  <c r="Q8" i="8" s="1"/>
  <c r="C47" i="8" s="1"/>
  <c r="AX27" i="7"/>
  <c r="R8" i="8" s="1"/>
  <c r="C48" i="8" s="1"/>
  <c r="AY27" i="7"/>
  <c r="S8" i="8" s="1"/>
  <c r="C49" i="8" s="1"/>
  <c r="Y26" i="7"/>
  <c r="N26" i="7"/>
  <c r="O26" i="7"/>
  <c r="P26" i="7"/>
  <c r="Q26" i="7"/>
  <c r="R26" i="7"/>
  <c r="S26" i="7"/>
  <c r="T26" i="7"/>
  <c r="U26" i="7"/>
  <c r="V26" i="7"/>
  <c r="W26" i="7"/>
  <c r="X26" i="7"/>
  <c r="N27" i="7"/>
  <c r="O27" i="7"/>
  <c r="P27" i="7"/>
  <c r="Q27" i="7"/>
  <c r="R27" i="7"/>
  <c r="S27" i="7"/>
  <c r="T27" i="7"/>
  <c r="U27" i="7"/>
  <c r="V27" i="7"/>
  <c r="W27" i="7"/>
  <c r="X27" i="7"/>
  <c r="Y27" i="7"/>
  <c r="M26" i="7"/>
  <c r="AZ7" i="7"/>
  <c r="AZ13" i="7"/>
  <c r="AZ15" i="7"/>
  <c r="Z7" i="7"/>
  <c r="Z8" i="7"/>
  <c r="Z9" i="7"/>
  <c r="Z10" i="7"/>
  <c r="Z11" i="7"/>
  <c r="Z13" i="7"/>
  <c r="Z14" i="7"/>
  <c r="Z15" i="7"/>
  <c r="Z16" i="7"/>
  <c r="Z17" i="7"/>
  <c r="Z18" i="7"/>
  <c r="Z6" i="7"/>
  <c r="C26" i="8" l="1"/>
  <c r="M26" i="8"/>
  <c r="P6" i="8"/>
  <c r="O6" i="8"/>
  <c r="N6" i="8"/>
  <c r="U6" i="8"/>
  <c r="M6" i="8"/>
  <c r="S6" i="8"/>
  <c r="R6" i="8"/>
  <c r="O45" i="8"/>
  <c r="P45" i="8" s="1"/>
  <c r="Q45" i="8" s="1"/>
  <c r="R45" i="8" s="1"/>
  <c r="S45" i="8" s="1"/>
  <c r="T45" i="8" s="1"/>
  <c r="U45" i="8" s="1"/>
  <c r="V45" i="8" s="1"/>
  <c r="W45" i="8" s="1"/>
  <c r="X45" i="8" s="1"/>
  <c r="Y45" i="8" s="1"/>
  <c r="N44" i="8"/>
  <c r="O44" i="8" s="1"/>
  <c r="P44" i="8" s="1"/>
  <c r="Q44" i="8" s="1"/>
  <c r="R44" i="8" s="1"/>
  <c r="S44" i="8" s="1"/>
  <c r="T44" i="8" s="1"/>
  <c r="U44" i="8" s="1"/>
  <c r="V44" i="8" s="1"/>
  <c r="W44" i="8" s="1"/>
  <c r="X44" i="8" s="1"/>
  <c r="M43" i="8"/>
  <c r="N43" i="8" s="1"/>
  <c r="O43" i="8" s="1"/>
  <c r="P43" i="8" s="1"/>
  <c r="Q43" i="8" s="1"/>
  <c r="R43" i="8" s="1"/>
  <c r="S43" i="8" s="1"/>
  <c r="T43" i="8" s="1"/>
  <c r="U43" i="8" s="1"/>
  <c r="V43" i="8" s="1"/>
  <c r="W43" i="8" s="1"/>
  <c r="Q6" i="8"/>
  <c r="T50" i="8"/>
  <c r="U50" i="8" s="1"/>
  <c r="V50" i="8" s="1"/>
  <c r="W50" i="8" s="1"/>
  <c r="X50" i="8" s="1"/>
  <c r="Y50" i="8" s="1"/>
  <c r="Z50" i="8" s="1"/>
  <c r="AA50" i="8" s="1"/>
  <c r="AB50" i="8" s="1"/>
  <c r="AC50" i="8" s="1"/>
  <c r="AD50" i="8" s="1"/>
  <c r="L42" i="8"/>
  <c r="M42" i="8" s="1"/>
  <c r="N42" i="8" s="1"/>
  <c r="O42" i="8" s="1"/>
  <c r="P42" i="8" s="1"/>
  <c r="Q42" i="8" s="1"/>
  <c r="R42" i="8" s="1"/>
  <c r="S42" i="8" s="1"/>
  <c r="T42" i="8" s="1"/>
  <c r="U42" i="8" s="1"/>
  <c r="V42" i="8" s="1"/>
  <c r="S49" i="8"/>
  <c r="T49" i="8" s="1"/>
  <c r="U49" i="8" s="1"/>
  <c r="V49" i="8" s="1"/>
  <c r="W49" i="8" s="1"/>
  <c r="X49" i="8" s="1"/>
  <c r="Y49" i="8" s="1"/>
  <c r="Z49" i="8" s="1"/>
  <c r="AA49" i="8" s="1"/>
  <c r="AB49" i="8" s="1"/>
  <c r="AC49" i="8" s="1"/>
  <c r="K41" i="8"/>
  <c r="L41" i="8" s="1"/>
  <c r="M41" i="8" s="1"/>
  <c r="N41" i="8" s="1"/>
  <c r="O41" i="8" s="1"/>
  <c r="P41" i="8" s="1"/>
  <c r="Q41" i="8" s="1"/>
  <c r="R41" i="8" s="1"/>
  <c r="S41" i="8" s="1"/>
  <c r="T41" i="8" s="1"/>
  <c r="U41" i="8" s="1"/>
  <c r="R48" i="8"/>
  <c r="S48" i="8" s="1"/>
  <c r="T48" i="8" s="1"/>
  <c r="U48" i="8" s="1"/>
  <c r="V48" i="8" s="1"/>
  <c r="W48" i="8" s="1"/>
  <c r="X48" i="8" s="1"/>
  <c r="Y48" i="8" s="1"/>
  <c r="Z48" i="8" s="1"/>
  <c r="AA48" i="8" s="1"/>
  <c r="AB48" i="8" s="1"/>
  <c r="J40" i="8"/>
  <c r="K40" i="8" s="1"/>
  <c r="L40" i="8" s="1"/>
  <c r="M40" i="8" s="1"/>
  <c r="N40" i="8" s="1"/>
  <c r="O40" i="8" s="1"/>
  <c r="P40" i="8" s="1"/>
  <c r="Q40" i="8" s="1"/>
  <c r="R40" i="8" s="1"/>
  <c r="S40" i="8" s="1"/>
  <c r="T40" i="8" s="1"/>
  <c r="Q47" i="8"/>
  <c r="R47" i="8" s="1"/>
  <c r="S47" i="8" s="1"/>
  <c r="T47" i="8" s="1"/>
  <c r="U47" i="8" s="1"/>
  <c r="V47" i="8" s="1"/>
  <c r="W47" i="8" s="1"/>
  <c r="X47" i="8" s="1"/>
  <c r="Y47" i="8" s="1"/>
  <c r="Z47" i="8" s="1"/>
  <c r="AA47" i="8" s="1"/>
  <c r="P46" i="8"/>
  <c r="Q46" i="8" s="1"/>
  <c r="R46" i="8" s="1"/>
  <c r="S46" i="8" s="1"/>
  <c r="T46" i="8" s="1"/>
  <c r="U46" i="8" s="1"/>
  <c r="V46" i="8" s="1"/>
  <c r="W46" i="8" s="1"/>
  <c r="X46" i="8" s="1"/>
  <c r="Y46" i="8" s="1"/>
  <c r="Z46" i="8" s="1"/>
  <c r="T6" i="8"/>
  <c r="C25" i="8"/>
  <c r="L25" i="8"/>
  <c r="L6" i="8"/>
  <c r="K24" i="8"/>
  <c r="L24" i="8" s="1"/>
  <c r="M24" i="8" s="1"/>
  <c r="N24" i="8" s="1"/>
  <c r="O24" i="8" s="1"/>
  <c r="P24" i="8" s="1"/>
  <c r="Q24" i="8" s="1"/>
  <c r="R24" i="8" s="1"/>
  <c r="S24" i="8" s="1"/>
  <c r="T24" i="8" s="1"/>
  <c r="U24" i="8" s="1"/>
  <c r="K6" i="8"/>
  <c r="C24" i="8"/>
  <c r="C23" i="8"/>
  <c r="J6" i="8"/>
  <c r="J23" i="8"/>
  <c r="K23" i="8" s="1"/>
  <c r="L23" i="8" s="1"/>
  <c r="M23" i="8" s="1"/>
  <c r="N23" i="8" s="1"/>
  <c r="O23" i="8" s="1"/>
  <c r="P23" i="8" s="1"/>
  <c r="Q23" i="8" s="1"/>
  <c r="R23" i="8" s="1"/>
  <c r="S23" i="8" s="1"/>
  <c r="T23" i="8" s="1"/>
  <c r="AZ10" i="7"/>
  <c r="AZ17" i="7"/>
  <c r="AZ9" i="7"/>
  <c r="AZ8" i="7"/>
  <c r="AZ18" i="7"/>
  <c r="AZ16" i="7"/>
  <c r="AZ11" i="7"/>
  <c r="AZ14" i="7"/>
  <c r="AZ12" i="7"/>
  <c r="A42" i="9"/>
  <c r="C42" i="9"/>
  <c r="A41" i="9"/>
  <c r="C41" i="9"/>
  <c r="A32" i="9"/>
  <c r="B32" i="9"/>
  <c r="C32" i="9"/>
  <c r="A33" i="9"/>
  <c r="B33" i="9"/>
  <c r="C33" i="9"/>
  <c r="A34" i="9"/>
  <c r="B34" i="9"/>
  <c r="C34" i="9"/>
  <c r="A35" i="9"/>
  <c r="B35" i="9"/>
  <c r="C35" i="9"/>
  <c r="A36" i="9"/>
  <c r="B36" i="9"/>
  <c r="C36" i="9"/>
  <c r="A37" i="9"/>
  <c r="B37" i="9"/>
  <c r="C37" i="9"/>
  <c r="A38" i="9"/>
  <c r="B38" i="9"/>
  <c r="C38" i="9"/>
  <c r="A39" i="9"/>
  <c r="B39" i="9"/>
  <c r="C39" i="9"/>
  <c r="A40" i="9"/>
  <c r="B40" i="9"/>
  <c r="C40" i="9"/>
  <c r="B31" i="9"/>
  <c r="C31" i="9"/>
  <c r="A31" i="9"/>
  <c r="G11" i="14"/>
  <c r="H11" i="14"/>
  <c r="J11" i="14"/>
  <c r="M11" i="14"/>
  <c r="O11" i="14"/>
  <c r="P11" i="14"/>
  <c r="Q11" i="14"/>
  <c r="R11" i="14"/>
  <c r="S11" i="14"/>
  <c r="T11" i="14"/>
  <c r="U11" i="14"/>
  <c r="V11" i="14"/>
  <c r="W11" i="14"/>
  <c r="X11" i="14"/>
  <c r="Y11" i="14"/>
  <c r="Z11" i="14"/>
  <c r="AA11" i="14"/>
  <c r="AB11" i="14"/>
  <c r="AD11" i="14"/>
  <c r="AE11" i="14"/>
  <c r="AF11" i="14"/>
  <c r="AG11" i="14"/>
  <c r="AH11" i="14"/>
  <c r="AI11" i="14"/>
  <c r="AJ11" i="14"/>
  <c r="AK11" i="14"/>
  <c r="AL11" i="14"/>
  <c r="AM11" i="14"/>
  <c r="AN11" i="14"/>
  <c r="AO11" i="14"/>
  <c r="AP11" i="14"/>
  <c r="AQ11" i="14"/>
  <c r="G22" i="6"/>
  <c r="G24" i="6"/>
  <c r="G25" i="6"/>
  <c r="H25" i="6"/>
  <c r="G26" i="6"/>
  <c r="H26" i="6"/>
  <c r="I26" i="6"/>
  <c r="G27" i="6"/>
  <c r="H27" i="6"/>
  <c r="I27" i="6"/>
  <c r="J27" i="6"/>
  <c r="G28" i="6"/>
  <c r="H28" i="6"/>
  <c r="I28" i="6"/>
  <c r="J28" i="6"/>
  <c r="K28" i="6"/>
  <c r="G29" i="6"/>
  <c r="H29" i="6"/>
  <c r="I29" i="6"/>
  <c r="J29" i="6"/>
  <c r="K29" i="6"/>
  <c r="L29" i="6"/>
  <c r="G30" i="6"/>
  <c r="H30" i="6"/>
  <c r="I30" i="6"/>
  <c r="J30" i="6"/>
  <c r="K30" i="6"/>
  <c r="L30" i="6"/>
  <c r="M30" i="6"/>
  <c r="E9" i="3"/>
  <c r="AE54" i="8"/>
  <c r="AF54" i="8"/>
  <c r="F11" i="13"/>
  <c r="G11" i="13"/>
  <c r="H11" i="13"/>
  <c r="I11" i="13"/>
  <c r="J11" i="13"/>
  <c r="K11" i="13"/>
  <c r="L11" i="13"/>
  <c r="M11" i="13"/>
  <c r="N11" i="13"/>
  <c r="O11" i="13"/>
  <c r="P11" i="13"/>
  <c r="Q11" i="13"/>
  <c r="R11" i="13"/>
  <c r="S11" i="13"/>
  <c r="T11" i="13"/>
  <c r="U11" i="13"/>
  <c r="V11" i="13"/>
  <c r="W11" i="13"/>
  <c r="X11" i="13"/>
  <c r="Y11" i="13"/>
  <c r="Z11" i="13"/>
  <c r="AA11" i="13"/>
  <c r="AB11" i="13"/>
  <c r="AC11" i="13"/>
  <c r="AD11" i="13"/>
  <c r="AE11" i="13"/>
  <c r="AF11" i="13"/>
  <c r="AG11" i="13"/>
  <c r="AH11" i="13"/>
  <c r="AI11" i="13"/>
  <c r="AJ11" i="13"/>
  <c r="AK11" i="13"/>
  <c r="AL11" i="13"/>
  <c r="AM11" i="13"/>
  <c r="AN11" i="13"/>
  <c r="AO11" i="13"/>
  <c r="AP11" i="13"/>
  <c r="AQ11" i="13"/>
  <c r="E11" i="13"/>
  <c r="N26" i="8" l="1"/>
  <c r="O26" i="8" s="1"/>
  <c r="P26" i="8" s="1"/>
  <c r="Q26" i="8" s="1"/>
  <c r="R26" i="8" s="1"/>
  <c r="S26" i="8" s="1"/>
  <c r="T26" i="8" s="1"/>
  <c r="U26" i="8" s="1"/>
  <c r="V26" i="8" s="1"/>
  <c r="W26" i="8" s="1"/>
  <c r="D26" i="8"/>
  <c r="E26" i="8"/>
  <c r="M25" i="8"/>
  <c r="N25" i="8" s="1"/>
  <c r="O25" i="8" s="1"/>
  <c r="P25" i="8" s="1"/>
  <c r="Q25" i="8" s="1"/>
  <c r="R25" i="8" s="1"/>
  <c r="S25" i="8" s="1"/>
  <c r="T25" i="8" s="1"/>
  <c r="U25" i="8" s="1"/>
  <c r="V25" i="8" s="1"/>
  <c r="D25" i="8"/>
  <c r="D26" i="9"/>
  <c r="D24" i="9"/>
  <c r="D23" i="9"/>
  <c r="D22" i="9"/>
  <c r="D47" i="9" s="1"/>
  <c r="E47" i="9" s="1"/>
  <c r="D21" i="9"/>
  <c r="D46" i="9" s="1"/>
  <c r="E46" i="9" s="1"/>
  <c r="D20" i="9"/>
  <c r="D45" i="9" s="1"/>
  <c r="E45" i="9" s="1"/>
  <c r="D19" i="9"/>
  <c r="D44" i="9" s="1"/>
  <c r="E44" i="9" s="1"/>
  <c r="D18" i="9"/>
  <c r="D43" i="9" s="1"/>
  <c r="E43" i="9" s="1"/>
  <c r="B41" i="9"/>
  <c r="D15" i="9"/>
  <c r="D40" i="9" s="1"/>
  <c r="E40" i="9" s="1"/>
  <c r="D14" i="9"/>
  <c r="D39" i="9" s="1"/>
  <c r="E39" i="9" s="1"/>
  <c r="D13" i="9"/>
  <c r="D38" i="9" s="1"/>
  <c r="E38" i="9" s="1"/>
  <c r="D12" i="9"/>
  <c r="D37" i="9" s="1"/>
  <c r="E37" i="9" s="1"/>
  <c r="D11" i="9"/>
  <c r="D36" i="9" s="1"/>
  <c r="E36" i="9" s="1"/>
  <c r="D10" i="9"/>
  <c r="D35" i="9" s="1"/>
  <c r="E35" i="9" s="1"/>
  <c r="D9" i="9"/>
  <c r="D34" i="9" s="1"/>
  <c r="E34" i="9" s="1"/>
  <c r="D8" i="9"/>
  <c r="D33" i="9" s="1"/>
  <c r="E33" i="9" s="1"/>
  <c r="D7" i="9"/>
  <c r="D32" i="9" s="1"/>
  <c r="E32" i="9" s="1"/>
  <c r="D31" i="9"/>
  <c r="D17" i="9" l="1"/>
  <c r="D42" i="9" s="1"/>
  <c r="B42" i="9"/>
  <c r="D16" i="9"/>
  <c r="D41" i="9" s="1"/>
  <c r="E41" i="9" s="1"/>
  <c r="E42" i="9" l="1"/>
  <c r="B13" i="14" l="1"/>
  <c r="AO13" i="14" l="1"/>
  <c r="C13" i="14"/>
  <c r="C8" i="1"/>
  <c r="C59" i="6" l="1"/>
  <c r="C27" i="14"/>
  <c r="AA52" i="8"/>
  <c r="E46" i="8"/>
  <c r="D46" i="8"/>
  <c r="AC52" i="8"/>
  <c r="E48" i="8"/>
  <c r="D48" i="8"/>
  <c r="AE52" i="8"/>
  <c r="AD52" i="8"/>
  <c r="E49" i="8"/>
  <c r="D49" i="8"/>
  <c r="AB52" i="8"/>
  <c r="D47" i="8"/>
  <c r="E47" i="8"/>
  <c r="C12" i="1"/>
  <c r="T13" i="14"/>
  <c r="T27" i="14" s="1"/>
  <c r="AR13" i="14"/>
  <c r="AS13" i="14"/>
  <c r="I13" i="14"/>
  <c r="J13" i="14"/>
  <c r="J27" i="14" s="1"/>
  <c r="AN13" i="14"/>
  <c r="AJ13" i="14"/>
  <c r="AB13" i="14"/>
  <c r="G13" i="14"/>
  <c r="G27" i="14" s="1"/>
  <c r="AH13" i="14"/>
  <c r="O13" i="14"/>
  <c r="O27" i="14" s="1"/>
  <c r="M13" i="14"/>
  <c r="M27" i="14" s="1"/>
  <c r="K13" i="14"/>
  <c r="K27" i="14" s="1"/>
  <c r="AK13" i="14"/>
  <c r="Y13" i="14"/>
  <c r="Y27" i="14" s="1"/>
  <c r="W13" i="14"/>
  <c r="W27" i="14" s="1"/>
  <c r="S13" i="14"/>
  <c r="S27" i="14" s="1"/>
  <c r="AQ13" i="14"/>
  <c r="U13" i="14"/>
  <c r="U27" i="14" s="1"/>
  <c r="H13" i="14"/>
  <c r="H27" i="14" s="1"/>
  <c r="AC13" i="14"/>
  <c r="AG13" i="14"/>
  <c r="AE13" i="14"/>
  <c r="R13" i="14"/>
  <c r="R27" i="14" s="1"/>
  <c r="Q13" i="14"/>
  <c r="Q27" i="14" s="1"/>
  <c r="N13" i="14"/>
  <c r="N27" i="14" s="1"/>
  <c r="L13" i="14"/>
  <c r="L27" i="14" s="1"/>
  <c r="AL13" i="14"/>
  <c r="P13" i="14"/>
  <c r="P27" i="14" s="1"/>
  <c r="Z13" i="14"/>
  <c r="Z27" i="14" s="1"/>
  <c r="AM13" i="14"/>
  <c r="AF13" i="14"/>
  <c r="AI13" i="14"/>
  <c r="X13" i="14"/>
  <c r="X27" i="14" s="1"/>
  <c r="E13" i="14"/>
  <c r="E27" i="14" s="1"/>
  <c r="F13" i="14"/>
  <c r="F27" i="14" s="1"/>
  <c r="AD13" i="14"/>
  <c r="AP13" i="14"/>
  <c r="AA13" i="14"/>
  <c r="V13" i="14"/>
  <c r="V27" i="14" s="1"/>
  <c r="Z28" i="8"/>
  <c r="AB28" i="8"/>
  <c r="AA28" i="8"/>
  <c r="AC28" i="8"/>
  <c r="AE28" i="8"/>
  <c r="AD28" i="8"/>
  <c r="D13" i="14" l="1"/>
  <c r="D27" i="14" s="1"/>
  <c r="I27" i="14"/>
  <c r="AM27" i="14"/>
  <c r="S59" i="6"/>
  <c r="V59" i="6"/>
  <c r="AP27" i="14"/>
  <c r="AG27" i="14"/>
  <c r="M59" i="6"/>
  <c r="Q59" i="6"/>
  <c r="AK27" i="14"/>
  <c r="AO27" i="14"/>
  <c r="U59" i="6"/>
  <c r="AN27" i="14"/>
  <c r="T59" i="6"/>
  <c r="AB27" i="14"/>
  <c r="H59" i="6"/>
  <c r="K59" i="6"/>
  <c r="AE27" i="14"/>
  <c r="AL27" i="14"/>
  <c r="R59" i="6"/>
  <c r="P59" i="6"/>
  <c r="AJ27" i="14"/>
  <c r="L59" i="6"/>
  <c r="AF27" i="14"/>
  <c r="AD27" i="14"/>
  <c r="J59" i="6"/>
  <c r="I59" i="6"/>
  <c r="AC27" i="14"/>
  <c r="F59" i="6"/>
  <c r="W59" i="6"/>
  <c r="AQ27" i="14"/>
  <c r="N59" i="6"/>
  <c r="AH27" i="14"/>
  <c r="AS27" i="14"/>
  <c r="Y59" i="6"/>
  <c r="G59" i="6"/>
  <c r="AA27" i="14"/>
  <c r="AI27" i="14"/>
  <c r="O59" i="6"/>
  <c r="X59" i="6"/>
  <c r="AR27" i="14"/>
  <c r="D59" i="6" l="1"/>
  <c r="B8" i="1" s="1"/>
  <c r="D8" i="1" s="1"/>
  <c r="F8" i="1" s="1"/>
  <c r="E59" i="6"/>
  <c r="F31" i="8"/>
  <c r="AA18" i="8"/>
  <c r="AB18" i="8" s="1"/>
  <c r="AC18" i="8" s="1"/>
  <c r="AD18" i="8" s="1"/>
  <c r="AE18" i="8" s="1"/>
  <c r="AF18" i="8" s="1"/>
  <c r="M27" i="7"/>
  <c r="L27" i="7"/>
  <c r="K27" i="7"/>
  <c r="J27" i="7"/>
  <c r="I27" i="7"/>
  <c r="H27" i="7"/>
  <c r="G27" i="7"/>
  <c r="F27" i="7"/>
  <c r="E27" i="7"/>
  <c r="L26" i="7"/>
  <c r="G26" i="7"/>
  <c r="F26" i="7"/>
  <c r="E26" i="7"/>
  <c r="AF24" i="7"/>
  <c r="AG24" i="7" s="1"/>
  <c r="AH24" i="7" s="1"/>
  <c r="AI24" i="7" s="1"/>
  <c r="AJ24" i="7" s="1"/>
  <c r="AK24" i="7" s="1"/>
  <c r="AL24" i="7" s="1"/>
  <c r="AM24" i="7" s="1"/>
  <c r="AN24" i="7" s="1"/>
  <c r="AO24" i="7" s="1"/>
  <c r="AP24" i="7" s="1"/>
  <c r="AQ24" i="7" s="1"/>
  <c r="AR24" i="7" s="1"/>
  <c r="AS24" i="7" s="1"/>
  <c r="AT24" i="7" s="1"/>
  <c r="AU24" i="7" s="1"/>
  <c r="AV24" i="7" s="1"/>
  <c r="AW24" i="7" s="1"/>
  <c r="AX24" i="7" s="1"/>
  <c r="AY24" i="7" s="1"/>
  <c r="F24" i="7"/>
  <c r="G24" i="7" s="1"/>
  <c r="H24" i="7" s="1"/>
  <c r="I24" i="7" s="1"/>
  <c r="J24" i="7" s="1"/>
  <c r="K24" i="7" s="1"/>
  <c r="L24" i="7" s="1"/>
  <c r="M24" i="7" s="1"/>
  <c r="N24" i="7" s="1"/>
  <c r="O24" i="7" s="1"/>
  <c r="P24" i="7" s="1"/>
  <c r="Q24" i="7" s="1"/>
  <c r="R24" i="7" s="1"/>
  <c r="S24" i="7" s="1"/>
  <c r="T24" i="7" s="1"/>
  <c r="U24" i="7" s="1"/>
  <c r="V24" i="7" s="1"/>
  <c r="W24" i="7" s="1"/>
  <c r="X24" i="7" s="1"/>
  <c r="Y24" i="7" s="1"/>
  <c r="M19" i="7"/>
  <c r="L19" i="7"/>
  <c r="G19" i="7"/>
  <c r="F19" i="7"/>
  <c r="E19" i="7"/>
  <c r="H26" i="7"/>
  <c r="AZ6" i="7"/>
  <c r="AF5" i="7"/>
  <c r="AG5" i="7" s="1"/>
  <c r="AH5" i="7" s="1"/>
  <c r="AI5" i="7" s="1"/>
  <c r="AJ5" i="7" s="1"/>
  <c r="AK5" i="7" s="1"/>
  <c r="AL5" i="7" s="1"/>
  <c r="AM5" i="7" s="1"/>
  <c r="AN5" i="7" s="1"/>
  <c r="AO5" i="7" s="1"/>
  <c r="AP5" i="7" s="1"/>
  <c r="AQ5" i="7" s="1"/>
  <c r="AR5" i="7" s="1"/>
  <c r="AS5" i="7" s="1"/>
  <c r="AT5" i="7" s="1"/>
  <c r="AU5" i="7" s="1"/>
  <c r="AV5" i="7" s="1"/>
  <c r="AW5" i="7" s="1"/>
  <c r="AX5" i="7" s="1"/>
  <c r="AY5" i="7" s="1"/>
  <c r="F5" i="7"/>
  <c r="G5" i="7" s="1"/>
  <c r="H5" i="7" s="1"/>
  <c r="I5" i="7" s="1"/>
  <c r="J5" i="7" s="1"/>
  <c r="K5" i="7" s="1"/>
  <c r="L5" i="7" s="1"/>
  <c r="M5" i="7" s="1"/>
  <c r="N5" i="7" s="1"/>
  <c r="O5" i="7" s="1"/>
  <c r="P5" i="7" s="1"/>
  <c r="Q5" i="7" s="1"/>
  <c r="R5" i="7" s="1"/>
  <c r="S5" i="7" s="1"/>
  <c r="T5" i="7" s="1"/>
  <c r="U5" i="7" s="1"/>
  <c r="V5" i="7" s="1"/>
  <c r="W5" i="7" s="1"/>
  <c r="X5" i="7" s="1"/>
  <c r="Y5" i="7" s="1"/>
  <c r="H37" i="6"/>
  <c r="I37" i="6" s="1"/>
  <c r="J37" i="6" s="1"/>
  <c r="K37" i="6" s="1"/>
  <c r="L37" i="6" s="1"/>
  <c r="M37" i="6" s="1"/>
  <c r="N37" i="6" s="1"/>
  <c r="O37" i="6" s="1"/>
  <c r="P37" i="6" s="1"/>
  <c r="Q37" i="6" s="1"/>
  <c r="R37" i="6" s="1"/>
  <c r="S37" i="6" s="1"/>
  <c r="T37" i="6" s="1"/>
  <c r="U37" i="6" s="1"/>
  <c r="V37" i="6" s="1"/>
  <c r="W37" i="6" s="1"/>
  <c r="X37" i="6" s="1"/>
  <c r="Y37" i="6" s="1"/>
  <c r="Z37" i="6" s="1"/>
  <c r="AA37" i="6" s="1"/>
  <c r="AB37" i="6" s="1"/>
  <c r="AC37" i="6" s="1"/>
  <c r="AD37" i="6" s="1"/>
  <c r="AE37" i="6" s="1"/>
  <c r="AF37" i="6" s="1"/>
  <c r="F31" i="6"/>
  <c r="F33" i="6" s="1"/>
  <c r="H22" i="6"/>
  <c r="H20" i="6"/>
  <c r="I20" i="6" s="1"/>
  <c r="J20" i="6" s="1"/>
  <c r="K20" i="6" s="1"/>
  <c r="L20" i="6" s="1"/>
  <c r="M20" i="6" s="1"/>
  <c r="N20" i="6" s="1"/>
  <c r="O20" i="6" s="1"/>
  <c r="P20" i="6" s="1"/>
  <c r="Q20" i="6" s="1"/>
  <c r="R20" i="6" s="1"/>
  <c r="S20" i="6" s="1"/>
  <c r="T20" i="6" s="1"/>
  <c r="U20" i="6" s="1"/>
  <c r="V20" i="6" s="1"/>
  <c r="W20" i="6" s="1"/>
  <c r="X20" i="6" s="1"/>
  <c r="Y20" i="6" s="1"/>
  <c r="Z20" i="6" s="1"/>
  <c r="AA20" i="6" s="1"/>
  <c r="AB20" i="6" s="1"/>
  <c r="AC20" i="6" s="1"/>
  <c r="AD20" i="6" s="1"/>
  <c r="AE20" i="6" s="1"/>
  <c r="AF20" i="6" s="1"/>
  <c r="H6" i="6"/>
  <c r="I6" i="6" s="1"/>
  <c r="J6" i="6" s="1"/>
  <c r="K6" i="6" s="1"/>
  <c r="L6" i="6" s="1"/>
  <c r="M6" i="6" s="1"/>
  <c r="N6" i="6" s="1"/>
  <c r="O6" i="6" s="1"/>
  <c r="P6" i="6" s="1"/>
  <c r="Q6" i="6" s="1"/>
  <c r="R6" i="6" s="1"/>
  <c r="S6" i="6" s="1"/>
  <c r="T6" i="6" s="1"/>
  <c r="U6" i="6" s="1"/>
  <c r="V6" i="6" s="1"/>
  <c r="W6" i="6" s="1"/>
  <c r="X6" i="6" s="1"/>
  <c r="Y6" i="6" s="1"/>
  <c r="Z6" i="6" s="1"/>
  <c r="AA6" i="6" s="1"/>
  <c r="AB6" i="6" s="1"/>
  <c r="AC6" i="6" s="1"/>
  <c r="AD6" i="6" s="1"/>
  <c r="AE6" i="6" s="1"/>
  <c r="AF6" i="6" s="1"/>
  <c r="F57" i="6" l="1"/>
  <c r="F61" i="6" s="1"/>
  <c r="Z27" i="7"/>
  <c r="K26" i="7"/>
  <c r="Z12" i="7"/>
  <c r="Z19" i="7" s="1"/>
  <c r="AE27" i="7"/>
  <c r="AM27" i="7"/>
  <c r="G8" i="8" s="1"/>
  <c r="AF27" i="7"/>
  <c r="AL27" i="7"/>
  <c r="AK19" i="7"/>
  <c r="K19" i="7"/>
  <c r="AL19" i="7"/>
  <c r="AJ19" i="7"/>
  <c r="AJ27" i="7"/>
  <c r="AM19" i="7"/>
  <c r="AK27" i="7"/>
  <c r="AE26" i="7"/>
  <c r="AL26" i="7"/>
  <c r="J19" i="7"/>
  <c r="AM26" i="7"/>
  <c r="AH27" i="7"/>
  <c r="AF19" i="7"/>
  <c r="AF26" i="7"/>
  <c r="I19" i="7"/>
  <c r="AI26" i="7"/>
  <c r="I26" i="7"/>
  <c r="AG19" i="7"/>
  <c r="AG26" i="7"/>
  <c r="AI27" i="7"/>
  <c r="AJ26" i="7"/>
  <c r="AE19" i="7"/>
  <c r="AG27" i="7"/>
  <c r="H19" i="7"/>
  <c r="Z25" i="7"/>
  <c r="J26" i="7"/>
  <c r="C23" i="6"/>
  <c r="G23" i="6"/>
  <c r="G52" i="6"/>
  <c r="G54" i="6" s="1"/>
  <c r="I22" i="6"/>
  <c r="AB22" i="13" l="1"/>
  <c r="C22" i="13" s="1"/>
  <c r="C31" i="13" s="1"/>
  <c r="I22" i="8"/>
  <c r="G7" i="8"/>
  <c r="C37" i="8"/>
  <c r="G37" i="8"/>
  <c r="H37" i="8" s="1"/>
  <c r="I37" i="8" s="1"/>
  <c r="J37" i="8" s="1"/>
  <c r="K37" i="8" s="1"/>
  <c r="L37" i="8" s="1"/>
  <c r="M37" i="8" s="1"/>
  <c r="N37" i="8" s="1"/>
  <c r="O37" i="8" s="1"/>
  <c r="P37" i="8" s="1"/>
  <c r="Q37" i="8" s="1"/>
  <c r="J22" i="8"/>
  <c r="C8" i="8"/>
  <c r="I39" i="8"/>
  <c r="H38" i="8"/>
  <c r="I38" i="8" s="1"/>
  <c r="J38" i="8" s="1"/>
  <c r="C22" i="8"/>
  <c r="I6" i="8"/>
  <c r="H21" i="8"/>
  <c r="I21" i="8" s="1"/>
  <c r="J21" i="8" s="1"/>
  <c r="K21" i="8" s="1"/>
  <c r="L21" i="8" s="1"/>
  <c r="M21" i="8" s="1"/>
  <c r="N21" i="8" s="1"/>
  <c r="O21" i="8" s="1"/>
  <c r="P21" i="8" s="1"/>
  <c r="Q21" i="8" s="1"/>
  <c r="R21" i="8" s="1"/>
  <c r="C21" i="8"/>
  <c r="H6" i="8"/>
  <c r="Z26" i="7"/>
  <c r="Z28" i="7" s="1"/>
  <c r="AZ27" i="7"/>
  <c r="AZ19" i="7"/>
  <c r="AK26" i="7"/>
  <c r="AH19" i="7"/>
  <c r="AH26" i="7"/>
  <c r="AZ25" i="7"/>
  <c r="AI19" i="7"/>
  <c r="J22" i="6"/>
  <c r="H23" i="6"/>
  <c r="G20" i="8" l="1"/>
  <c r="G6" i="8"/>
  <c r="H20" i="8"/>
  <c r="K22" i="8"/>
  <c r="J39" i="8"/>
  <c r="K39" i="8" s="1"/>
  <c r="L39" i="8" s="1"/>
  <c r="M39" i="8" s="1"/>
  <c r="N39" i="8" s="1"/>
  <c r="O39" i="8" s="1"/>
  <c r="P39" i="8" s="1"/>
  <c r="Q39" i="8" s="1"/>
  <c r="R39" i="8" s="1"/>
  <c r="S39" i="8" s="1"/>
  <c r="K38" i="8"/>
  <c r="L38" i="8" s="1"/>
  <c r="M38" i="8" s="1"/>
  <c r="N38" i="8" s="1"/>
  <c r="O38" i="8" s="1"/>
  <c r="P38" i="8" s="1"/>
  <c r="Q38" i="8" s="1"/>
  <c r="R38" i="8" s="1"/>
  <c r="C52" i="8"/>
  <c r="AZ26" i="7"/>
  <c r="AZ28" i="7" s="1"/>
  <c r="I23" i="6"/>
  <c r="K22" i="6"/>
  <c r="G31" i="6"/>
  <c r="G33" i="6" s="1"/>
  <c r="C7" i="8" l="1"/>
  <c r="C6" i="8"/>
  <c r="C20" i="8"/>
  <c r="C28" i="8" s="1"/>
  <c r="L22" i="8"/>
  <c r="M22" i="8" s="1"/>
  <c r="N22" i="8" s="1"/>
  <c r="O22" i="8" s="1"/>
  <c r="P22" i="8" s="1"/>
  <c r="Q22" i="8" s="1"/>
  <c r="R22" i="8" s="1"/>
  <c r="I20" i="8"/>
  <c r="J20" i="8" s="1"/>
  <c r="K20" i="8" s="1"/>
  <c r="L20" i="8" s="1"/>
  <c r="M20" i="8" s="1"/>
  <c r="J52" i="8"/>
  <c r="G28" i="8"/>
  <c r="H52" i="8"/>
  <c r="G57" i="6"/>
  <c r="G61" i="6" s="1"/>
  <c r="H52" i="6"/>
  <c r="H54" i="6" s="1"/>
  <c r="L22" i="6"/>
  <c r="J23" i="6"/>
  <c r="N20" i="8" l="1"/>
  <c r="M28" i="8"/>
  <c r="S22" i="8"/>
  <c r="R28" i="8"/>
  <c r="C31" i="8"/>
  <c r="G31" i="8"/>
  <c r="K23" i="6"/>
  <c r="M22" i="6"/>
  <c r="D22" i="8" l="1"/>
  <c r="E22" i="8"/>
  <c r="O20" i="8"/>
  <c r="N28" i="8"/>
  <c r="I52" i="8"/>
  <c r="H28" i="8"/>
  <c r="H31" i="8" s="1"/>
  <c r="L23" i="6"/>
  <c r="N22" i="6"/>
  <c r="P20" i="8" l="1"/>
  <c r="O28" i="8"/>
  <c r="I28" i="8"/>
  <c r="I31" i="8" s="1"/>
  <c r="O22" i="6"/>
  <c r="M23" i="6"/>
  <c r="Q20" i="8" l="1"/>
  <c r="P28" i="8"/>
  <c r="L52" i="8"/>
  <c r="K52" i="8"/>
  <c r="J28" i="8"/>
  <c r="J31" i="8" s="1"/>
  <c r="P22" i="6"/>
  <c r="N23" i="6"/>
  <c r="Q28" i="8" l="1"/>
  <c r="D20" i="8"/>
  <c r="M52" i="8"/>
  <c r="K28" i="8"/>
  <c r="K31" i="8" s="1"/>
  <c r="O23" i="6"/>
  <c r="L28" i="8" l="1"/>
  <c r="L31" i="8" s="1"/>
  <c r="P23" i="6"/>
  <c r="O52" i="8" l="1"/>
  <c r="N52" i="8"/>
  <c r="M31" i="8"/>
  <c r="N31" i="8" l="1"/>
  <c r="R31" i="6"/>
  <c r="R33" i="6" s="1"/>
  <c r="Y52" i="8" l="1"/>
  <c r="E44" i="8"/>
  <c r="D44" i="8"/>
  <c r="U52" i="8"/>
  <c r="E40" i="8"/>
  <c r="D40" i="8"/>
  <c r="Q52" i="8"/>
  <c r="P52" i="8"/>
  <c r="T28" i="8"/>
  <c r="E23" i="8"/>
  <c r="D23" i="8"/>
  <c r="Y28" i="8"/>
  <c r="V28" i="8"/>
  <c r="E25" i="8"/>
  <c r="O31" i="8"/>
  <c r="S31" i="6"/>
  <c r="S33" i="6" s="1"/>
  <c r="W52" i="8" l="1"/>
  <c r="D42" i="8"/>
  <c r="E42" i="8"/>
  <c r="T52" i="8"/>
  <c r="E39" i="8"/>
  <c r="D39" i="8"/>
  <c r="X52" i="8"/>
  <c r="D43" i="8"/>
  <c r="E43" i="8"/>
  <c r="Z52" i="8"/>
  <c r="E45" i="8"/>
  <c r="D45" i="8"/>
  <c r="V52" i="8"/>
  <c r="E41" i="8"/>
  <c r="D41" i="8"/>
  <c r="S52" i="8"/>
  <c r="D38" i="8"/>
  <c r="E38" i="8"/>
  <c r="E21" i="8"/>
  <c r="D21" i="8"/>
  <c r="W28" i="8"/>
  <c r="S28" i="8"/>
  <c r="R52" i="8" l="1"/>
  <c r="E37" i="8"/>
  <c r="E52" i="8" s="1"/>
  <c r="D37" i="8"/>
  <c r="D52" i="8" s="1"/>
  <c r="U28" i="8"/>
  <c r="E24" i="8"/>
  <c r="D24" i="8"/>
  <c r="D28" i="8" s="1"/>
  <c r="P31" i="8"/>
  <c r="T31" i="6"/>
  <c r="T33" i="6" s="1"/>
  <c r="D31" i="8" l="1"/>
  <c r="Q31" i="8"/>
  <c r="E20" i="8"/>
  <c r="E28" i="8" s="1"/>
  <c r="U31" i="6"/>
  <c r="U33" i="6" s="1"/>
  <c r="B12" i="3" l="1"/>
  <c r="R31" i="8"/>
  <c r="S31" i="8"/>
  <c r="V31" i="6"/>
  <c r="V33" i="6" s="1"/>
  <c r="W31" i="6"/>
  <c r="W33" i="6" s="1"/>
  <c r="T31" i="8" l="1"/>
  <c r="X31" i="6"/>
  <c r="X33" i="6" s="1"/>
  <c r="Q22" i="6"/>
  <c r="U31" i="8" l="1"/>
  <c r="X55" i="8"/>
  <c r="V31" i="8" l="1"/>
  <c r="Y55" i="8"/>
  <c r="Y31" i="6"/>
  <c r="Y33" i="6" s="1"/>
  <c r="W31" i="8" l="1"/>
  <c r="Z55" i="8"/>
  <c r="Z31" i="6"/>
  <c r="Z33" i="6" s="1"/>
  <c r="X31" i="8" l="1"/>
  <c r="X60" i="8" s="1"/>
  <c r="X62" i="8" s="1"/>
  <c r="AB31" i="6"/>
  <c r="AB33" i="6" s="1"/>
  <c r="AA31" i="6"/>
  <c r="AA33" i="6" s="1"/>
  <c r="AB57" i="6" l="1"/>
  <c r="AB61" i="6" s="1"/>
  <c r="AA57" i="6"/>
  <c r="AA61" i="6" s="1"/>
  <c r="Y31" i="8"/>
  <c r="Y60" i="8" s="1"/>
  <c r="Y62" i="8" s="1"/>
  <c r="AB31" i="8"/>
  <c r="Z31" i="8" l="1"/>
  <c r="Z60" i="8" s="1"/>
  <c r="Z62" i="8" s="1"/>
  <c r="AC31" i="6"/>
  <c r="AC33" i="6" s="1"/>
  <c r="AD31" i="6"/>
  <c r="AD33" i="6" s="1"/>
  <c r="AD57" i="6" l="1"/>
  <c r="AD61" i="6" s="1"/>
  <c r="AC57" i="6"/>
  <c r="AC61" i="6" s="1"/>
  <c r="AC31" i="8"/>
  <c r="AD31" i="8"/>
  <c r="AE31" i="6"/>
  <c r="AE33" i="6" s="1"/>
  <c r="AE57" i="6" l="1"/>
  <c r="AE61" i="6" s="1"/>
  <c r="Q23" i="6"/>
  <c r="D23" i="6" s="1"/>
  <c r="AE55" i="8" l="1"/>
  <c r="AE31" i="8"/>
  <c r="AF31" i="6"/>
  <c r="AF33" i="6" s="1"/>
  <c r="AE60" i="8" l="1"/>
  <c r="AE62" i="8" s="1"/>
  <c r="AF57" i="6"/>
  <c r="AF61" i="6" s="1"/>
  <c r="AF55" i="8"/>
  <c r="AF31" i="8"/>
  <c r="E23" i="6"/>
  <c r="AV8" i="5" l="1"/>
  <c r="AV16" i="5" s="1"/>
  <c r="AA31" i="8" l="1"/>
  <c r="E31" i="8"/>
  <c r="C9" i="6" l="1"/>
  <c r="C28" i="6"/>
  <c r="L8" i="6"/>
  <c r="L28" i="6"/>
  <c r="C26" i="6"/>
  <c r="J8" i="6"/>
  <c r="J26" i="6"/>
  <c r="C44" i="6"/>
  <c r="C24" i="6"/>
  <c r="H24" i="6"/>
  <c r="C47" i="6"/>
  <c r="H8" i="6"/>
  <c r="O8" i="6"/>
  <c r="C43" i="6"/>
  <c r="C30" i="6"/>
  <c r="N30" i="6"/>
  <c r="N8" i="6"/>
  <c r="C45" i="6"/>
  <c r="C25" i="6"/>
  <c r="I8" i="6"/>
  <c r="I25" i="6"/>
  <c r="C27" i="6"/>
  <c r="K27" i="6"/>
  <c r="K8" i="6"/>
  <c r="C48" i="6"/>
  <c r="C46" i="6"/>
  <c r="C29" i="6"/>
  <c r="M29" i="6"/>
  <c r="M8" i="6"/>
  <c r="C8" i="6" l="1"/>
  <c r="C52" i="6"/>
  <c r="C54" i="6" s="1"/>
  <c r="L27" i="6"/>
  <c r="K26" i="6"/>
  <c r="O30" i="6"/>
  <c r="J25" i="6"/>
  <c r="I24" i="6"/>
  <c r="M28" i="6"/>
  <c r="N29" i="6"/>
  <c r="C31" i="6"/>
  <c r="C33" i="6" s="1"/>
  <c r="L26" i="6" l="1"/>
  <c r="J24" i="6"/>
  <c r="I31" i="6"/>
  <c r="I33" i="6" s="1"/>
  <c r="N28" i="6"/>
  <c r="O29" i="6"/>
  <c r="P30" i="6"/>
  <c r="K25" i="6"/>
  <c r="H31" i="6"/>
  <c r="H33" i="6" s="1"/>
  <c r="C57" i="6"/>
  <c r="C61" i="6" s="1"/>
  <c r="M27" i="6"/>
  <c r="H57" i="6" l="1"/>
  <c r="H61" i="6" s="1"/>
  <c r="J52" i="6"/>
  <c r="J54" i="6" s="1"/>
  <c r="I52" i="6"/>
  <c r="I54" i="6" s="1"/>
  <c r="M26" i="6"/>
  <c r="O28" i="6"/>
  <c r="K24" i="6"/>
  <c r="N27" i="6"/>
  <c r="L25" i="6"/>
  <c r="P29" i="6"/>
  <c r="I57" i="6" l="1"/>
  <c r="I61" i="6" s="1"/>
  <c r="M25" i="6"/>
  <c r="J31" i="6"/>
  <c r="J33" i="6" s="1"/>
  <c r="O27" i="6"/>
  <c r="L24" i="6"/>
  <c r="K31" i="6"/>
  <c r="K33" i="6" s="1"/>
  <c r="N26" i="6"/>
  <c r="P28" i="6"/>
  <c r="J57" i="6" l="1"/>
  <c r="J61" i="6" s="1"/>
  <c r="L52" i="6"/>
  <c r="L54" i="6" s="1"/>
  <c r="K52" i="6"/>
  <c r="K54" i="6" s="1"/>
  <c r="M24" i="6"/>
  <c r="N25" i="6"/>
  <c r="P27" i="6"/>
  <c r="O26" i="6"/>
  <c r="K57" i="6" l="1"/>
  <c r="K61" i="6" s="1"/>
  <c r="O25" i="6"/>
  <c r="N24" i="6"/>
  <c r="M31" i="6"/>
  <c r="M33" i="6" s="1"/>
  <c r="P26" i="6"/>
  <c r="L31" i="6"/>
  <c r="L33" i="6" s="1"/>
  <c r="L57" i="6" l="1"/>
  <c r="L61" i="6" s="1"/>
  <c r="M52" i="6"/>
  <c r="M54" i="6" s="1"/>
  <c r="Q28" i="6"/>
  <c r="D28" i="6" s="1"/>
  <c r="P25" i="6"/>
  <c r="O24" i="6"/>
  <c r="N31" i="6"/>
  <c r="N33" i="6" s="1"/>
  <c r="M57" i="6" l="1"/>
  <c r="M61" i="6" s="1"/>
  <c r="E28" i="6"/>
  <c r="O52" i="6"/>
  <c r="O54" i="6" s="1"/>
  <c r="N52" i="6"/>
  <c r="N54" i="6" s="1"/>
  <c r="Q27" i="6"/>
  <c r="D27" i="6" s="1"/>
  <c r="P24" i="6"/>
  <c r="O31" i="6"/>
  <c r="O33" i="6" s="1"/>
  <c r="O57" i="6" l="1"/>
  <c r="O61" i="6" s="1"/>
  <c r="N57" i="6"/>
  <c r="N61" i="6" s="1"/>
  <c r="E27" i="6"/>
  <c r="Q26" i="6"/>
  <c r="D26" i="6" s="1"/>
  <c r="P31" i="6"/>
  <c r="P33" i="6" s="1"/>
  <c r="P52" i="6" l="1"/>
  <c r="Q25" i="6"/>
  <c r="D25" i="6" s="1"/>
  <c r="Q30" i="6"/>
  <c r="E25" i="6"/>
  <c r="Q29" i="6"/>
  <c r="D29" i="6" s="1"/>
  <c r="E26" i="6"/>
  <c r="Q24" i="6"/>
  <c r="D24" i="6" s="1"/>
  <c r="P57" i="6" l="1"/>
  <c r="P61" i="6" s="1"/>
  <c r="P54" i="6"/>
  <c r="E43" i="6"/>
  <c r="Q52" i="6"/>
  <c r="Q54" i="6" s="1"/>
  <c r="D30" i="6"/>
  <c r="D31" i="6" s="1"/>
  <c r="D33" i="6" s="1"/>
  <c r="E30" i="6"/>
  <c r="E24" i="6"/>
  <c r="Y52" i="6" l="1"/>
  <c r="Y54" i="6" s="1"/>
  <c r="E47" i="6"/>
  <c r="D47" i="6"/>
  <c r="S52" i="6"/>
  <c r="S54" i="6" s="1"/>
  <c r="E41" i="6"/>
  <c r="V52" i="6"/>
  <c r="V54" i="6" s="1"/>
  <c r="E44" i="6"/>
  <c r="U52" i="6"/>
  <c r="U54" i="6" s="1"/>
  <c r="D43" i="6"/>
  <c r="W52" i="6"/>
  <c r="W54" i="6" s="1"/>
  <c r="D45" i="6"/>
  <c r="E45" i="6"/>
  <c r="X52" i="6"/>
  <c r="X54" i="6" s="1"/>
  <c r="D46" i="6"/>
  <c r="E46" i="6"/>
  <c r="Z52" i="6"/>
  <c r="Z54" i="6" s="1"/>
  <c r="D48" i="6"/>
  <c r="E48" i="6"/>
  <c r="T52" i="6"/>
  <c r="T54" i="6" s="1"/>
  <c r="E42" i="6"/>
  <c r="D42" i="6"/>
  <c r="R52" i="6"/>
  <c r="R54" i="6" s="1"/>
  <c r="E40" i="6"/>
  <c r="E29" i="6"/>
  <c r="E31" i="6" s="1"/>
  <c r="E33" i="6" s="1"/>
  <c r="Q31" i="6"/>
  <c r="Q33" i="6" s="1"/>
  <c r="E52" i="6" l="1"/>
  <c r="E54" i="6" s="1"/>
  <c r="D52" i="6"/>
  <c r="T57" i="6"/>
  <c r="T61" i="6" s="1"/>
  <c r="S57" i="6"/>
  <c r="S61" i="6" s="1"/>
  <c r="Z57" i="6"/>
  <c r="Z61" i="6" s="1"/>
  <c r="W57" i="6"/>
  <c r="W61" i="6" s="1"/>
  <c r="U57" i="6"/>
  <c r="U61" i="6" s="1"/>
  <c r="R57" i="6"/>
  <c r="R61" i="6" s="1"/>
  <c r="X57" i="6"/>
  <c r="X61" i="6" s="1"/>
  <c r="Y57" i="6"/>
  <c r="Y61" i="6" s="1"/>
  <c r="V57" i="6"/>
  <c r="V61" i="6" s="1"/>
  <c r="Q57" i="6"/>
  <c r="Q61" i="6" s="1"/>
  <c r="D57" i="6" l="1"/>
  <c r="D61" i="6" s="1"/>
  <c r="D54" i="6"/>
  <c r="B10" i="1" s="1"/>
  <c r="D10" i="1" s="1"/>
  <c r="F10" i="1" s="1"/>
  <c r="F12" i="1" s="1"/>
  <c r="E57" i="6"/>
  <c r="E61" i="6" s="1"/>
  <c r="G12" i="1" l="1"/>
  <c r="H12" i="1" s="1"/>
  <c r="B12" i="1"/>
  <c r="C12" i="3"/>
  <c r="D12" i="3" s="1"/>
  <c r="E13" i="3"/>
  <c r="C13" i="3"/>
  <c r="F12" i="3" l="1"/>
  <c r="E15" i="3"/>
  <c r="C9" i="3" l="1"/>
  <c r="C15" i="3" l="1"/>
  <c r="E11" i="15" l="1"/>
  <c r="E53" i="15" s="1"/>
  <c r="E56" i="15" s="1"/>
  <c r="B14" i="13" s="1"/>
  <c r="AC14" i="13" l="1"/>
  <c r="H53" i="15"/>
  <c r="M15" i="15"/>
  <c r="G53" i="15"/>
  <c r="G56" i="15" s="1"/>
  <c r="K14" i="13" l="1"/>
  <c r="AM14" i="13"/>
  <c r="I14" i="13"/>
  <c r="M14" i="13"/>
  <c r="T14" i="13"/>
  <c r="AJ14" i="13"/>
  <c r="X14" i="13"/>
  <c r="S14" i="13"/>
  <c r="P14" i="13"/>
  <c r="R14" i="13"/>
  <c r="Q14" i="13"/>
  <c r="AL14" i="13"/>
  <c r="AB14" i="13"/>
  <c r="N14" i="13"/>
  <c r="J14" i="13"/>
  <c r="AO14" i="13"/>
  <c r="AN14" i="13"/>
  <c r="AG14" i="13"/>
  <c r="W14" i="13"/>
  <c r="AF14" i="13"/>
  <c r="AP14" i="13"/>
  <c r="Z14" i="13"/>
  <c r="AH14" i="13"/>
  <c r="V14" i="13"/>
  <c r="L14" i="13"/>
  <c r="AE14" i="13"/>
  <c r="AK14" i="13"/>
  <c r="O14" i="13"/>
  <c r="AD14" i="13"/>
  <c r="U14" i="13"/>
  <c r="AQ14" i="13"/>
  <c r="AI14" i="13"/>
  <c r="Y14" i="13"/>
  <c r="G14" i="13"/>
  <c r="AA14" i="13"/>
  <c r="E14" i="13"/>
  <c r="H14" i="13"/>
  <c r="M53" i="15"/>
  <c r="H56" i="15"/>
  <c r="G13" i="13" l="1"/>
  <c r="G17" i="13" s="1"/>
  <c r="G31" i="13" s="1"/>
  <c r="AH13" i="13"/>
  <c r="AH17" i="13" s="1"/>
  <c r="AO13" i="13"/>
  <c r="AO17" i="13" s="1"/>
  <c r="P13" i="13"/>
  <c r="P17" i="13" s="1"/>
  <c r="P31" i="13" s="1"/>
  <c r="J13" i="13"/>
  <c r="J17" i="13" s="1"/>
  <c r="J31" i="13" s="1"/>
  <c r="AI13" i="13"/>
  <c r="AI17" i="13" s="1"/>
  <c r="U13" i="13"/>
  <c r="AF13" i="13"/>
  <c r="V13" i="13"/>
  <c r="V17" i="13" s="1"/>
  <c r="V31" i="13" s="1"/>
  <c r="O13" i="13"/>
  <c r="O17" i="13" s="1"/>
  <c r="O31" i="13" s="1"/>
  <c r="M13" i="13"/>
  <c r="M17" i="13" s="1"/>
  <c r="M31" i="13" s="1"/>
  <c r="K13" i="13"/>
  <c r="K17" i="13" s="1"/>
  <c r="K31" i="13" s="1"/>
  <c r="Y13" i="13"/>
  <c r="Y17" i="13" s="1"/>
  <c r="Y31" i="13" s="1"/>
  <c r="Z13" i="13"/>
  <c r="Z17" i="13" s="1"/>
  <c r="Z31" i="13" s="1"/>
  <c r="AA13" i="13"/>
  <c r="AA17" i="13" s="1"/>
  <c r="W13" i="13"/>
  <c r="H13" i="13"/>
  <c r="X13" i="13"/>
  <c r="AK13" i="13"/>
  <c r="AK17" i="13" s="1"/>
  <c r="AC13" i="13"/>
  <c r="AC17" i="13" s="1"/>
  <c r="AM13" i="13"/>
  <c r="AM17" i="13" s="1"/>
  <c r="E13" i="13"/>
  <c r="E17" i="13" s="1"/>
  <c r="AN13" i="13"/>
  <c r="L13" i="13"/>
  <c r="AB13" i="13"/>
  <c r="N13" i="13"/>
  <c r="N17" i="13" s="1"/>
  <c r="N31" i="13" s="1"/>
  <c r="AE13" i="13"/>
  <c r="AE17" i="13" s="1"/>
  <c r="AD13" i="13"/>
  <c r="AD17" i="13" s="1"/>
  <c r="Q13" i="13"/>
  <c r="Q17" i="13" s="1"/>
  <c r="Q31" i="13" s="1"/>
  <c r="S13" i="13"/>
  <c r="S17" i="13" s="1"/>
  <c r="S31" i="13" s="1"/>
  <c r="AG13" i="13"/>
  <c r="AG17" i="13" s="1"/>
  <c r="R13" i="13"/>
  <c r="I13" i="13"/>
  <c r="I17" i="13" s="1"/>
  <c r="I31" i="13" s="1"/>
  <c r="AL13" i="13"/>
  <c r="AL17" i="13" s="1"/>
  <c r="AQ13" i="13"/>
  <c r="AQ17" i="13" s="1"/>
  <c r="T13" i="13"/>
  <c r="T17" i="13" s="1"/>
  <c r="T31" i="13" s="1"/>
  <c r="AP13" i="13"/>
  <c r="AP17" i="13" s="1"/>
  <c r="AJ13" i="13"/>
  <c r="AJ17" i="13" s="1"/>
  <c r="S16" i="13"/>
  <c r="H16" i="13"/>
  <c r="H31" i="13"/>
  <c r="X16" i="13"/>
  <c r="X17" i="13"/>
  <c r="X31" i="13" s="1"/>
  <c r="L16" i="13"/>
  <c r="L17" i="13"/>
  <c r="L31" i="13" s="1"/>
  <c r="Z16" i="13"/>
  <c r="N16" i="13"/>
  <c r="AB16" i="13"/>
  <c r="H54" i="8" s="1"/>
  <c r="AB17" i="13"/>
  <c r="W16" i="13"/>
  <c r="W17" i="13"/>
  <c r="W31" i="13" s="1"/>
  <c r="AN16" i="13"/>
  <c r="AN17" i="13"/>
  <c r="AD16" i="13"/>
  <c r="J54" i="8" s="1"/>
  <c r="J55" i="8" s="1"/>
  <c r="J60" i="8" s="1"/>
  <c r="E16" i="13"/>
  <c r="AA16" i="13"/>
  <c r="AJ16" i="13"/>
  <c r="P54" i="8" s="1"/>
  <c r="P55" i="8" s="1"/>
  <c r="P60" i="8" s="1"/>
  <c r="AG16" i="13"/>
  <c r="M54" i="8" s="1"/>
  <c r="M55" i="8" s="1"/>
  <c r="M60" i="8" s="1"/>
  <c r="V16" i="13"/>
  <c r="AH16" i="13"/>
  <c r="N54" i="8" s="1"/>
  <c r="N55" i="8" s="1"/>
  <c r="N60" i="8" s="1"/>
  <c r="AO16" i="13"/>
  <c r="P16" i="13"/>
  <c r="AM16" i="13"/>
  <c r="S54" i="8" s="1"/>
  <c r="S55" i="8" s="1"/>
  <c r="S60" i="8" s="1"/>
  <c r="J16" i="13"/>
  <c r="O16" i="13"/>
  <c r="AP16" i="13"/>
  <c r="AK16" i="13"/>
  <c r="Q54" i="8" s="1"/>
  <c r="Q55" i="8" s="1"/>
  <c r="Q60" i="8" s="1"/>
  <c r="AF16" i="13"/>
  <c r="L54" i="8" s="1"/>
  <c r="L55" i="8" s="1"/>
  <c r="L60" i="8" s="1"/>
  <c r="AF17" i="13"/>
  <c r="G16" i="13"/>
  <c r="AE16" i="13"/>
  <c r="K54" i="8" s="1"/>
  <c r="K55" i="8" s="1"/>
  <c r="K60" i="8" s="1"/>
  <c r="AL16" i="13"/>
  <c r="R54" i="8" s="1"/>
  <c r="R55" i="8" s="1"/>
  <c r="R60" i="8" s="1"/>
  <c r="T16" i="13"/>
  <c r="Y16" i="13"/>
  <c r="Q16" i="13"/>
  <c r="M16" i="13"/>
  <c r="AI16" i="13"/>
  <c r="O54" i="8" s="1"/>
  <c r="O55" i="8" s="1"/>
  <c r="O60" i="8" s="1"/>
  <c r="R16" i="13"/>
  <c r="R17" i="13"/>
  <c r="R31" i="13" s="1"/>
  <c r="I16" i="13"/>
  <c r="AQ16" i="13"/>
  <c r="U16" i="13"/>
  <c r="U17" i="13"/>
  <c r="U31" i="13" s="1"/>
  <c r="AC16" i="13"/>
  <c r="F16" i="13"/>
  <c r="F31" i="13"/>
  <c r="K16" i="13"/>
  <c r="M56" i="15"/>
  <c r="L58" i="8" l="1"/>
  <c r="L62" i="8" s="1"/>
  <c r="AF31" i="13"/>
  <c r="N58" i="8"/>
  <c r="N62" i="8" s="1"/>
  <c r="AH31" i="13"/>
  <c r="G54" i="8"/>
  <c r="G55" i="8" s="1"/>
  <c r="G60" i="8" s="1"/>
  <c r="G58" i="8"/>
  <c r="AA31" i="13"/>
  <c r="S58" i="8"/>
  <c r="S62" i="8" s="1"/>
  <c r="AM31" i="13"/>
  <c r="F54" i="8"/>
  <c r="D16" i="13"/>
  <c r="O58" i="8"/>
  <c r="O62" i="8" s="1"/>
  <c r="AI31" i="13"/>
  <c r="K58" i="8"/>
  <c r="K62" i="8" s="1"/>
  <c r="AE31" i="13"/>
  <c r="M58" i="8"/>
  <c r="M62" i="8" s="1"/>
  <c r="AG31" i="13"/>
  <c r="J58" i="8"/>
  <c r="J62" i="8" s="1"/>
  <c r="AD31" i="13"/>
  <c r="W58" i="8"/>
  <c r="AQ31" i="13"/>
  <c r="R58" i="8"/>
  <c r="R62" i="8" s="1"/>
  <c r="AL31" i="13"/>
  <c r="F58" i="8"/>
  <c r="E31" i="13"/>
  <c r="D17" i="13"/>
  <c r="H58" i="8"/>
  <c r="AB31" i="13"/>
  <c r="I58" i="8"/>
  <c r="AC31" i="13"/>
  <c r="U58" i="8"/>
  <c r="AO31" i="13"/>
  <c r="P58" i="8"/>
  <c r="P62" i="8" s="1"/>
  <c r="AJ31" i="13"/>
  <c r="T58" i="8"/>
  <c r="AN31" i="13"/>
  <c r="Q58" i="8"/>
  <c r="Q62" i="8" s="1"/>
  <c r="AK31" i="13"/>
  <c r="V58" i="8"/>
  <c r="AP31" i="13"/>
  <c r="H55" i="8"/>
  <c r="H60" i="8" s="1"/>
  <c r="I54" i="8"/>
  <c r="AD54" i="8"/>
  <c r="AD55" i="8" s="1"/>
  <c r="AD60" i="8" s="1"/>
  <c r="AD62" i="8" s="1"/>
  <c r="W54" i="8"/>
  <c r="W55" i="8" s="1"/>
  <c r="W60" i="8" s="1"/>
  <c r="AC54" i="8"/>
  <c r="AC55" i="8" s="1"/>
  <c r="AC60" i="8" s="1"/>
  <c r="AC62" i="8" s="1"/>
  <c r="V54" i="8"/>
  <c r="V55" i="8" s="1"/>
  <c r="V60" i="8" s="1"/>
  <c r="U54" i="8"/>
  <c r="U55" i="8" s="1"/>
  <c r="U60" i="8" s="1"/>
  <c r="AB54" i="8"/>
  <c r="AB55" i="8" s="1"/>
  <c r="AB60" i="8" s="1"/>
  <c r="AB62" i="8" s="1"/>
  <c r="T54" i="8"/>
  <c r="T55" i="8" s="1"/>
  <c r="T60" i="8" s="1"/>
  <c r="AA54" i="8"/>
  <c r="AA55" i="8" s="1"/>
  <c r="AA60" i="8" s="1"/>
  <c r="AA62" i="8" s="1"/>
  <c r="T62" i="8" l="1"/>
  <c r="V62" i="8"/>
  <c r="U62" i="8"/>
  <c r="G62" i="8"/>
  <c r="E54" i="8"/>
  <c r="E55" i="8" s="1"/>
  <c r="E60" i="8" s="1"/>
  <c r="D58" i="8"/>
  <c r="H62" i="8"/>
  <c r="W62" i="8"/>
  <c r="D54" i="8"/>
  <c r="D55" i="8" s="1"/>
  <c r="I55" i="8"/>
  <c r="I60" i="8" s="1"/>
  <c r="I62" i="8" s="1"/>
  <c r="F55" i="8"/>
  <c r="F60" i="8" s="1"/>
  <c r="F62" i="8" s="1"/>
  <c r="E58" i="8"/>
  <c r="E62" i="8" l="1"/>
  <c r="B9" i="3"/>
  <c r="D9" i="3" s="1"/>
  <c r="F9" i="3" s="1"/>
  <c r="B13" i="3"/>
  <c r="D13" i="3" s="1"/>
  <c r="F13" i="3" s="1"/>
  <c r="D60" i="8"/>
  <c r="D62" i="8" s="1"/>
  <c r="B15" i="3" l="1"/>
  <c r="F15" i="3"/>
  <c r="G15" i="3" s="1"/>
  <c r="H15" i="3" s="1"/>
  <c r="C11" i="13"/>
  <c r="C17" i="13" l="1"/>
  <c r="C14" i="13"/>
  <c r="C16" i="13" s="1"/>
  <c r="C54" i="8" s="1"/>
  <c r="C55" i="8" s="1"/>
  <c r="C60" i="8" s="1"/>
  <c r="C62" i="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tc={0EA9E9D2-BCA0-41C0-AF82-858B4C6013D0}</author>
    <author>tc={39F06743-39CD-44E1-8338-3C58D42EED76}</author>
    <author>tc={4C517940-341D-40BD-B6CC-2D7A1301BF07}</author>
    <author>tc={CECEFBC7-BEBD-43CA-A14A-60B3FA0A0FFD}</author>
    <author>tc={2644F718-7A86-412C-AC6B-4F35D5F13BF5}</author>
    <author>tc={BC0B078D-2604-4B08-92FF-63B8C017E25D}</author>
    <author>tc={08216734-1901-42F1-B26F-34B118061F82}</author>
  </authors>
  <commentList>
    <comment ref="G8" authorId="0" shapeId="0" xr:uid="{0EA9E9D2-BCA0-41C0-AF82-858B4C6013D0}">
      <text>
        <t>[Threaded comment]
Your version of Excel allows you to read this threaded comment; however, any edits to it will get removed if the file is opened in a newer version of Excel. Learn more: https://go.microsoft.com/fwlink/?linkid=870924
Comment:
    These are the forecasted capital expenditures by year.</t>
      </text>
    </comment>
    <comment ref="G10" authorId="1" shapeId="0" xr:uid="{39F06743-39CD-44E1-8338-3C58D42EED76}">
      <text>
        <t>[Threaded comment]
Your version of Excel allows you to read this threaded comment; however, any edits to it will get removed if the file is opened in a newer version of Excel. Learn more: https://go.microsoft.com/fwlink/?linkid=870924
Comment:
    These is the forecasted cost to be financed. The formula includes the forecasted capital cost by year, minus the debt that was previously taken. The result here is forecasted new debt taken.</t>
      </text>
    </comment>
    <comment ref="G17" authorId="2" shapeId="0" xr:uid="{4C517940-341D-40BD-B6CC-2D7A1301BF07}">
      <text>
        <t>[Threaded comment]
Your version of Excel allows you to read this threaded comment; however, any edits to it will get removed if the file is opened in a newer version of Excel. Learn more: https://go.microsoft.com/fwlink/?linkid=870924
Comment:
    Forecasted Non-Residential Construction Price Index (CPI) for Calgary</t>
      </text>
    </comment>
    <comment ref="C39" authorId="3" shapeId="0" xr:uid="{CECEFBC7-BEBD-43CA-A14A-60B3FA0A0FFD}">
      <text>
        <t>[Threaded comment]
Your version of Excel allows you to read this threaded comment; however, any edits to it will get removed if the file is opened in a newer version of Excel. Learn more: https://go.microsoft.com/fwlink/?linkid=870924
Comment:
    Calculating debt servicing cost for each year's expenditures.</t>
      </text>
    </comment>
    <comment ref="G39" authorId="4" shapeId="0" xr:uid="{2644F718-7A86-412C-AC6B-4F35D5F13BF5}">
      <text>
        <t>[Threaded comment]
Your version of Excel allows you to read this threaded comment; however, any edits to it will get removed if the file is opened in a newer version of Excel. Learn more: https://go.microsoft.com/fwlink/?linkid=870924
Comment:
    Projecting debt servicing cost</t>
      </text>
    </comment>
    <comment ref="D52" authorId="5" shapeId="0" xr:uid="{BC0B078D-2604-4B08-92FF-63B8C017E25D}">
      <text>
        <t>[Threaded comment]
Your version of Excel allows you to read this threaded comment; however, any edits to it will get removed if the file is opened in a newer version of Excel. Learn more: https://go.microsoft.com/fwlink/?linkid=870924
Comment:
    NPV cost of debt servicing, shown in the summary tab</t>
      </text>
    </comment>
    <comment ref="C59" authorId="6" shapeId="0" xr:uid="{08216734-1901-42F1-B26F-34B118061F82}">
      <text>
        <t>[Threaded comment]
Your version of Excel allows you to read this threaded comment; however, any edits to it will get removed if the file is opened in a newer version of Excel. Learn more: https://go.microsoft.com/fwlink/?linkid=870924
Comment:
    These are the debt servicing cost for expenditures during 2000-2023 shown on the next tab</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tc={9980E504-D02E-4729-A6D7-395D7CFEA25B}</author>
    <author>tc={3CA2B1B0-7239-491C-B65D-95938C7781FD}</author>
    <author>tc={EEBA5421-F046-43B0-AA09-D7F0EBE1BD64}</author>
  </authors>
  <commentList>
    <comment ref="C11" authorId="0" shapeId="0" xr:uid="{9980E504-D02E-4729-A6D7-395D7CFEA25B}">
      <text>
        <t>[Threaded comment]
Your version of Excel allows you to read this threaded comment; however, any edits to it will get removed if the file is opened in a newer version of Excel. Learn more: https://go.microsoft.com/fwlink/?linkid=870924
Comment:
    These are the total cost (City+Regional) of previous expansion projects from 2000-2014</t>
      </text>
    </comment>
    <comment ref="B13" authorId="1" shapeId="0" xr:uid="{3CA2B1B0-7239-491C-B65D-95938C7781FD}">
      <text>
        <t>[Threaded comment]
Your version of Excel allows you to read this threaded comment; however, any edits to it will get removed if the file is opened in a newer version of Excel. Learn more: https://go.microsoft.com/fwlink/?linkid=870924
Comment:
    Adjusting the total cost to exclude regional, Row 8 shows Calgary's portion only. See Tab 5 on how benefit allocation was calculated.</t>
      </text>
    </comment>
    <comment ref="D24" authorId="2" shapeId="0" xr:uid="{EEBA5421-F046-43B0-AA09-D7F0EBE1BD64}">
      <text>
        <t>[Threaded comment]
Your version of Excel allows you to read this threaded comment; however, any edits to it will get removed if the file is opened in a newer version of Excel. Learn more: https://go.microsoft.com/fwlink/?linkid=870924
Comment:
    This is the total debt servicing for expenditures in 2015-2023. This is Calgary's portion of the debt (regional is excluded)</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tc={2D8C7CDD-42B1-4095-91AB-56EA0AA70570}</author>
    <author>tc={F44D431C-A588-4767-A88A-5EAB29756BF3}</author>
    <author>tc={323D20B9-257B-46AF-88E9-77268FD79915}</author>
    <author>tc={82AA6771-71C7-42A7-A3A1-C6E9CC328F0B}</author>
    <author>tc={4B3B6518-B0BB-4D4C-BD3D-D7C8F5BECE28}</author>
    <author>tc={56CD3333-E9F0-4E7C-B92B-EF18F81AF0DB}</author>
    <author>tc={F0A2F1B5-EB88-47E3-8C00-030CE2441AD3}</author>
    <author>tc={753CD1BF-7171-43F0-A750-4F04865BB171}</author>
    <author>tc={B8A6AFB8-F3A8-40FE-B860-92304808D07F}</author>
    <author>tc={E503EB38-04C1-4928-AC79-0ECA5F1D7BAF}</author>
  </authors>
  <commentList>
    <comment ref="H12" authorId="0" shapeId="0" xr:uid="{2D8C7CDD-42B1-4095-91AB-56EA0AA70570}">
      <text>
        <t>[Threaded comment]
Your version of Excel allows you to read this threaded comment; however, any edits to it will get removed if the file is opened in a newer version of Excel. Learn more: https://go.microsoft.com/fwlink/?linkid=870924
Comment:
    The max day demand planning criteria up until 2021 is 650L/capita/day</t>
      </text>
    </comment>
    <comment ref="I22" authorId="1" shapeId="0" xr:uid="{F44D431C-A588-4767-A88A-5EAB29756BF3}">
      <text>
        <t>[Threaded comment]
Your version of Excel allows you to read this threaded comment; however, any edits to it will get removed if the file is opened in a newer version of Excel. Learn more: https://go.microsoft.com/fwlink/?linkid=870924
Comment:
    These the maximum volumes we have to deliver to regional partners, remaining capacity is available to serve Calgary</t>
      </text>
    </comment>
    <comment ref="J22" authorId="2" shapeId="0" xr:uid="{323D20B9-257B-46AF-88E9-77268FD79915}">
      <text>
        <t>[Threaded comment]
Your version of Excel allows you to read this threaded comment; however, any edits to it will get removed if the file is opened in a newer version of Excel. Learn more: https://go.microsoft.com/fwlink/?linkid=870924
Comment:
    This is the capacity available for Calgary, after our regional obligations</t>
      </text>
    </comment>
    <comment ref="G24" authorId="3" shapeId="0" xr:uid="{82AA6771-71C7-42A7-A3A1-C6E9CC328F0B}">
      <text>
        <t>[Threaded comment]
Your version of Excel allows you to read this threaded comment; however, any edits to it will get removed if the file is opened in a newer version of Excel. Learn more: https://go.microsoft.com/fwlink/?linkid=870924
Comment:
    Starting 2021, the max day demand planning criteria is 585L/capita/day. This additional capacity is coming from the Capacity Upgrade projects anticipated to be completed by 2026</t>
      </text>
    </comment>
    <comment ref="G26" authorId="4" shapeId="0" xr:uid="{4B3B6518-B0BB-4D4C-BD3D-D7C8F5BECE28}">
      <text>
        <t>[Threaded comment]
Your version of Excel allows you to read this threaded comment; however, any edits to it will get removed if the file is opened in a newer version of Excel. Learn more: https://go.microsoft.com/fwlink/?linkid=870924
Comment:
    New capacity from new WTP coming in the 2030s.</t>
      </text>
    </comment>
    <comment ref="H30" authorId="5" shapeId="0" xr:uid="{56CD3333-E9F0-4E7C-B92B-EF18F81AF0DB}">
      <text>
        <t>[Threaded comment]
Your version of Excel allows you to read this threaded comment; however, any edits to it will get removed if the file is opened in a newer version of Excel. Learn more: https://go.microsoft.com/fwlink/?linkid=870924
Comment:
    It is assumed the per capital consumption rates applies to all customer categories (residential, commerical, etc.)</t>
      </text>
    </comment>
    <comment ref="A50" authorId="6" shapeId="0" xr:uid="{F0A2F1B5-EB88-47E3-8C00-030CE2441AD3}">
      <text>
        <t>[Threaded comment]
Your version of Excel allows you to read this threaded comment; however, any edits to it will get removed if the file is opened in a newer version of Excel. Learn more: https://go.microsoft.com/fwlink/?linkid=870924
Comment:
    CAn this jsut be moved to the capacity tab?
Reply:
    Done</t>
      </text>
    </comment>
    <comment ref="C51" authorId="7" shapeId="0" xr:uid="{753CD1BF-7171-43F0-A750-4F04865BB171}">
      <text>
        <t>[Threaded comment]
Your version of Excel allows you to read this threaded comment; however, any edits to it will get removed if the file is opened in a newer version of Excel. Learn more: https://go.microsoft.com/fwlink/?linkid=870924
Comment:
    We recognize this percentage is taking the average of Calgary's population's utilization of the plants from 2005-2016. We decided to keep it 2005-2016 so it's consistent to the benefit allocation used for the 2016 OSL Bylaw update. If we used the average from 2005-2023, it would be a very small change compared to 2005-2016.</t>
      </text>
    </comment>
    <comment ref="D51" authorId="8" shapeId="0" xr:uid="{B8A6AFB8-F3A8-40FE-B860-92304808D07F}">
      <text>
        <t>[Threaded comment]
Your version of Excel allows you to read this threaded comment; however, any edits to it will get removed if the file is opened in a newer version of Excel. Learn more: https://go.microsoft.com/fwlink/?linkid=870924
Comment:
    Total capacity added to serve Calgary (excludes Regional component)</t>
      </text>
    </comment>
    <comment ref="D52" authorId="9" shapeId="0" xr:uid="{E503EB38-04C1-4928-AC79-0ECA5F1D7BAF}">
      <text>
        <t>[Threaded comment]
Your version of Excel allows you to read this threaded comment; however, any edits to it will get removed if the file is opened in a newer version of Excel. Learn more: https://go.microsoft.com/fwlink/?linkid=870924
Comment:
    Please note regional servicing requirements have already been considered to calculate this rating.</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tc={A8628063-7CB7-4E17-A64C-B543B92D019C}</author>
    <author>tc={DB93BAF3-3E6F-465F-AE73-C99B5B0257C0}</author>
  </authors>
  <commentList>
    <comment ref="E9" authorId="0" shapeId="0" xr:uid="{A8628063-7CB7-4E17-A64C-B543B92D019C}">
      <text>
        <t>[Threaded comment]
Your version of Excel allows you to read this threaded comment; however, any edits to it will get removed if the file is opened in a newer version of Excel. Learn more: https://go.microsoft.com/fwlink/?linkid=870924
Comment:
    The capacity built in the Pine Creek WWTP is used up.</t>
      </text>
    </comment>
    <comment ref="B12" authorId="1" shapeId="0" xr:uid="{DB93BAF3-3E6F-465F-AE73-C99B5B0257C0}">
      <text>
        <t>[Threaded comment]
Your version of Excel allows you to read this threaded comment; however, any edits to it will get removed if the file is opened in a newer version of Excel. Learn more: https://go.microsoft.com/fwlink/?linkid=870924
Comment:
    As mentioned in consultation sessions, a 2015 reference date was shown as that was the start year of the Bonnybrook WWTP plant expansion currently underway. The 2015 date was chosen so the present value and the entire plant expansion can be considered holistically</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tc={159536D7-C54D-495F-9735-86317C575CA6}</author>
    <author>tc={417DC1C1-F6D6-42B4-9055-87E882409EFC}</author>
    <author>tc={5168B314-5C4E-446E-A8E3-14AE28BD0BF4}</author>
    <author>tc={A8E73FE6-1191-4504-A31C-451C4ABCEBE4}</author>
    <author>tc={D2E84CB5-F861-4A4E-BC0C-D65C12BF964F}</author>
    <author>tc={33ABF483-E26E-4BDB-B168-27C0E4CA5C47}</author>
  </authors>
  <commentList>
    <comment ref="G6" authorId="0" shapeId="0" xr:uid="{159536D7-C54D-495F-9735-86317C575CA6}">
      <text>
        <t>[Threaded comment]
Your version of Excel allows you to read this threaded comment; however, any edits to it will get removed if the file is opened in a newer version of Excel. Learn more: https://go.microsoft.com/fwlink/?linkid=870924
Comment:
    Projected capital expenditures by year.</t>
      </text>
    </comment>
    <comment ref="G15" authorId="1" shapeId="0" xr:uid="{417DC1C1-F6D6-42B4-9055-87E882409EFC}">
      <text>
        <t>[Threaded comment]
Your version of Excel allows you to read this threaded comment; however, any edits to it will get removed if the file is opened in a newer version of Excel. Learn more: https://go.microsoft.com/fwlink/?linkid=870924
Comment:
    Forecasted Non-Residential Construction Price Index (CPI) for Calgary.</t>
      </text>
    </comment>
    <comment ref="C20" authorId="2" shapeId="0" xr:uid="{5168B314-5C4E-446E-A8E3-14AE28BD0BF4}">
      <text>
        <t>[Threaded comment]
Your version of Excel allows you to read this threaded comment; however, any edits to it will get removed if the file is opened in a newer version of Excel. Learn more: https://go.microsoft.com/fwlink/?linkid=870924
Comment:
    Calculating the debt servicing cost based on capital expenditures by year</t>
      </text>
    </comment>
    <comment ref="C30" authorId="3" shapeId="0" xr:uid="{A8E73FE6-1191-4504-A31C-451C4ABCEBE4}">
      <text>
        <t>[Threaded comment]
Your version of Excel allows you to read this threaded comment; however, any edits to it will get removed if the file is opened in a newer version of Excel. Learn more: https://go.microsoft.com/fwlink/?linkid=870924
Comment:
    Adding in debt servicing cost for 2015-23 expenditures so we can calculate an unit of capacity for the entire program, as explained in the Sept 8 consultation session</t>
      </text>
    </comment>
    <comment ref="D31" authorId="4" shapeId="0" xr:uid="{D2E84CB5-F861-4A4E-BC0C-D65C12BF964F}">
      <text>
        <t>[Threaded comment]
Your version of Excel allows you to read this threaded comment; however, any edits to it will get removed if the file is opened in a newer version of Excel. Learn more: https://go.microsoft.com/fwlink/?linkid=870924
Comment:
    NPV used to calculate the Present Value of the program</t>
      </text>
    </comment>
    <comment ref="C54" authorId="5" shapeId="0" xr:uid="{33ABF483-E26E-4BDB-B168-27C0E4CA5C47}">
      <text>
        <t>[Threaded comment]
Your version of Excel allows you to read this threaded comment; however, any edits to it will get removed if the file is opened in a newer version of Excel. Learn more: https://go.microsoft.com/fwlink/?linkid=870924
Comment:
    A portion of Pine Creek's cost was held back in 2008 to account for equipment sized to serve the future. Details in the Pine Creek Cost tab. We're adding in the cost for this plant expansion. Additional cost held back for future stages of expansions will be added back in when those expansions are required.</t>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tc={EF108BAE-5E69-4C96-85D6-4F9A8E110D76}</author>
    <author>tc={14E0DF62-27CB-452B-B599-9D67B609F945}</author>
    <author>tc={8383C6A7-BF1E-4CF4-9F4A-46B9448C5582}</author>
    <author>tc={10400935-5B35-446C-B9A8-4478E6F98F20}</author>
    <author>tc={98A89C4E-F93D-4E84-9FA8-0910015C9EB2}</author>
    <author>Nguyen, Helena</author>
    <author>tc={F0860887-B2F8-43A8-8229-5F8E47A00644}</author>
    <author>tc={F0581E90-ED5D-4865-9389-28164B7307C6}</author>
    <author>tc={6CE1639F-B7A1-49F9-92F3-F38019EE7AE0}</author>
    <author>tc={B948FFED-BFD6-41A2-91EB-FB9E1C0B1A62}</author>
  </authors>
  <commentList>
    <comment ref="C11" authorId="0" shapeId="0" xr:uid="{EF108BAE-5E69-4C96-85D6-4F9A8E110D76}">
      <text>
        <t>[Threaded comment]
Your version of Excel allows you to read this threaded comment; however, any edits to it will get removed if the file is opened in a newer version of Excel. Learn more: https://go.microsoft.com/fwlink/?linkid=870924
Comment:
    Total cost of Pine Creek Stage 1 (City + Regional portions)</t>
      </text>
    </comment>
    <comment ref="D11" authorId="1" shapeId="0" xr:uid="{14E0DF62-27CB-452B-B599-9D67B609F945}">
      <text>
        <t>[Threaded comment]
Your version of Excel allows you to read this threaded comment; however, any edits to it will get removed if the file is opened in a newer version of Excel. Learn more: https://go.microsoft.com/fwlink/?linkid=870924
Comment:
    Cash is not debt serviced</t>
      </text>
    </comment>
    <comment ref="B13" authorId="2" shapeId="0" xr:uid="{8383C6A7-BF1E-4CF4-9F4A-46B9448C5582}">
      <text>
        <t>[Threaded comment]
Your version of Excel allows you to read this threaded comment; however, any edits to it will get removed if the file is opened in a newer version of Excel. Learn more: https://go.microsoft.com/fwlink/?linkid=870924
Comment:
    Cost of original expansion alloted to future expansions. See the Tab 11 for details</t>
      </text>
    </comment>
    <comment ref="B14" authorId="3" shapeId="0" xr:uid="{10400935-5B35-446C-B9A8-4478E6F98F20}">
      <text>
        <t>[Threaded comment]
Your version of Excel allows you to read this threaded comment; however, any edits to it will get removed if the file is opened in a newer version of Excel. Learn more: https://go.microsoft.com/fwlink/?linkid=870924
Comment:
    Cost of orginal construction alloted to Stage 2A, see Tab 11 for details</t>
      </text>
    </comment>
    <comment ref="B16" authorId="4" shapeId="0" xr:uid="{98A89C4E-F93D-4E84-9FA8-0910015C9EB2}">
      <text>
        <t>[Threaded comment]
Your version of Excel allows you to read this threaded comment; however, any edits to it will get removed if the file is opened in a newer version of Excel. Learn more: https://go.microsoft.com/fwlink/?linkid=870924
Comment:
    This was the original benefit allocation for the City's percentage for Pine Creek in 2008.</t>
      </text>
    </comment>
    <comment ref="B17" authorId="5" shapeId="0" xr:uid="{22BF0BEC-3FC7-4E68-BAD9-89FB01AEA644}">
      <text>
        <r>
          <rPr>
            <b/>
            <sz val="9"/>
            <color indexed="81"/>
            <rFont val="Tahoma"/>
            <family val="2"/>
          </rPr>
          <t>Nguyen, Helena:</t>
        </r>
        <r>
          <rPr>
            <sz val="9"/>
            <color indexed="81"/>
            <rFont val="Tahoma"/>
            <family val="2"/>
          </rPr>
          <t xml:space="preserve">
Adjustment factor to exclude regional customers </t>
        </r>
      </text>
    </comment>
    <comment ref="C17" authorId="6" shapeId="0" xr:uid="{F0860887-B2F8-43A8-8229-5F8E47A00644}">
      <text>
        <t>[Threaded comment]
Your version of Excel allows you to read this threaded comment; however, any edits to it will get removed if the file is opened in a newer version of Excel. Learn more: https://go.microsoft.com/fwlink/?linkid=870924
Comment:
    City (excluding regional)'s portion of the original Stage 1, after subtracting alloted cost for future expansion. Row 12 shows the debt servicing cost for this portion only</t>
      </text>
    </comment>
    <comment ref="AB21" authorId="7" shapeId="0" xr:uid="{F0581E90-ED5D-4865-9389-28164B7307C6}">
      <text>
        <t>[Threaded comment]
Your version of Excel allows you to read this threaded comment; however, any edits to it will get removed if the file is opened in a newer version of Excel. Learn more: https://go.microsoft.com/fwlink/?linkid=870924
Comment:
    Actual until June 2023, forecast for remaining of the year</t>
      </text>
    </comment>
    <comment ref="AB22" authorId="8" shapeId="0" xr:uid="{6CE1639F-B7A1-49F9-92F3-F38019EE7AE0}">
      <text>
        <t>[Threaded comment]
Your version of Excel allows you to read this threaded comment; however, any edits to it will get removed if the file is opened in a newer version of Excel. Learn more: https://go.microsoft.com/fwlink/?linkid=870924
Comment:
    The formula here calculates the forecasted capital costs, minus the debt previously taken, minus 3.008M provided by the ACRP for this project. The result is the net new amount of debt taken to finance the project for the year.</t>
      </text>
    </comment>
    <comment ref="D28" authorId="9" shapeId="0" xr:uid="{B948FFED-BFD6-41A2-91EB-FB9E1C0B1A62}">
      <text>
        <t>[Threaded comment]
Your version of Excel allows you to read this threaded comment; however, any edits to it will get removed if the file is opened in a newer version of Excel. Learn more: https://go.microsoft.com/fwlink/?linkid=870924
Comment:
    Calculating debt servicing cost for 2015-23 expenditures.
Reply:
    Please note this if for Calgary's portion only, regional is excluded.</t>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tc={BE50EC29-B57C-44F0-A1D5-DAC04092BD6D}</author>
  </authors>
  <commentList>
    <comment ref="D15" authorId="0" shapeId="0" xr:uid="{BE50EC29-B57C-44F0-A1D5-DAC04092BD6D}">
      <text>
        <t>[Threaded comment]
Your version of Excel allows you to read this threaded comment; however, any edits to it will get removed if the file is opened in a newer version of Excel. Learn more: https://go.microsoft.com/fwlink/?linkid=870924
Comment:
    The costs of this project was previously included as "South Catchment Capacity Upgrade" in the 2016 OSL. This project got split out of the Capacity Upgrade and became it's own project.</t>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tc={473D2019-10FE-480C-AC51-83943FC5ED88}</author>
    <author>Nguyen, Helena</author>
    <author>tc={8E935C0F-A687-4877-BC91-D229F063A118}</author>
    <author>tc={53206FA8-DB30-4072-B809-DC86D240D3D6}</author>
    <author>tc={7B9FA9D0-1977-47E1-BE95-559221C207A9}</author>
    <author>tc={CEA7C772-71B9-46A4-8A10-700C76C72963}</author>
    <author>tc={C21835C6-B662-4F4D-A34D-63D29B19276C}</author>
    <author>tc={59CC7602-14F7-467E-95ED-86668C9A2BB1}</author>
    <author>tc={E1FFCD3E-8785-4FDD-A196-992E01C1764E}</author>
    <author>tc={B56F982F-34A9-451B-A1B3-2B4189CC8BC9}</author>
    <author>tc={7AD49BBF-CF92-495F-B801-319D2B2659C1}</author>
    <author>tc={C083E942-6EB0-4509-861E-D10A3E53EFD2}</author>
  </authors>
  <commentList>
    <comment ref="C5" authorId="0" shapeId="0" xr:uid="{473D2019-10FE-480C-AC51-83943FC5ED88}">
      <text>
        <t>[Threaded comment]
Your version of Excel allows you to read this threaded comment; however, any edits to it will get removed if the file is opened in a newer version of Excel. Learn more: https://go.microsoft.com/fwlink/?linkid=870924
Comment:
    December 2020 regional population data is the latest data we have available from our regional partners.</t>
      </text>
    </comment>
    <comment ref="F9" authorId="1" shapeId="0" xr:uid="{C8524600-6A54-4BF1-89AC-D58C7D8147D3}">
      <text>
        <r>
          <rPr>
            <b/>
            <sz val="9"/>
            <color indexed="81"/>
            <rFont val="Tahoma"/>
            <family val="2"/>
          </rPr>
          <t>Nguyen, Helena:</t>
        </r>
        <r>
          <rPr>
            <sz val="9"/>
            <color indexed="81"/>
            <rFont val="Tahoma"/>
            <family val="2"/>
          </rPr>
          <t xml:space="preserve">
Original Capacity of Pine Creek Stage 1, all of this capacity has been used by now
</t>
        </r>
      </text>
    </comment>
    <comment ref="G17" authorId="2" shapeId="0" xr:uid="{8E935C0F-A687-4877-BC91-D229F063A118}">
      <text>
        <t>[Threaded comment]
Your version of Excel allows you to read this threaded comment; however, any edits to it will get removed if the file is opened in a newer version of Excel. Learn more: https://go.microsoft.com/fwlink/?linkid=870924
Comment:
    Multi-year incremental capacity gains from the Bonnybrook Capacity Upgrades project, along with the supporting projects on the capital list</t>
      </text>
    </comment>
    <comment ref="F19" authorId="3" shapeId="0" xr:uid="{53206FA8-DB30-4072-B809-DC86D240D3D6}">
      <text>
        <t>[Threaded comment]
Your version of Excel allows you to read this threaded comment; however, any edits to it will get removed if the file is opened in a newer version of Excel. Learn more: https://go.microsoft.com/fwlink/?linkid=870924
Comment:
    Pine Creek underwent a plant optimization exercise with stress testing and debottlenecking constraints to add 25,000EP to its rating. The cost of this project is not added into the OSL</t>
      </text>
    </comment>
    <comment ref="G22" authorId="4" shapeId="0" xr:uid="{7B9FA9D0-1977-47E1-BE95-559221C207A9}">
      <text>
        <t>[Threaded comment]
Your version of Excel allows you to read this threaded comment; however, any edits to it will get removed if the file is opened in a newer version of Excel. Learn more: https://go.microsoft.com/fwlink/?linkid=870924
Comment:
    BBWWTP Plant D expansion Phase 1</t>
      </text>
    </comment>
    <comment ref="F24" authorId="5" shapeId="0" xr:uid="{CEA7C772-71B9-46A4-8A10-700C76C72963}">
      <text>
        <t>[Threaded comment]
Your version of Excel allows you to read this threaded comment; however, any edits to it will get removed if the file is opened in a newer version of Excel. Learn more: https://go.microsoft.com/fwlink/?linkid=870924
Comment:
    Fish Creek WWTP is undergoing a plant upgrade project to be completed by 2028. The upgrades are mostly regulatory driven, this shows the EP increase from the upgrades. The cost of this project is not included in the OSL due to the requirements for the upgrades being regulatory driven</t>
      </text>
    </comment>
    <comment ref="G24" authorId="6" shapeId="0" xr:uid="{C21835C6-B662-4F4D-A34D-63D29B19276C}">
      <text>
        <t>[Threaded comment]
Your version of Excel allows you to read this threaded comment; however, any edits to it will get removed if the file is opened in a newer version of Excel. Learn more: https://go.microsoft.com/fwlink/?linkid=870924
Comment:
    BBWWTP Plant D expansion Phase 2</t>
      </text>
    </comment>
    <comment ref="F25" authorId="7" shapeId="0" xr:uid="{59CC7602-14F7-467E-95ED-86668C9A2BB1}">
      <text>
        <t>[Threaded comment]
Your version of Excel allows you to read this threaded comment; however, any edits to it will get removed if the file is opened in a newer version of Excel. Learn more: https://go.microsoft.com/fwlink/?linkid=870924
Comment:
    Capacity gained as a part of the planned wet weather upgrades for Stage 2A</t>
      </text>
    </comment>
    <comment ref="F26" authorId="8" shapeId="0" xr:uid="{E1FFCD3E-8785-4FDD-A196-992E01C1764E}">
      <text>
        <t>[Threaded comment]
Your version of Excel allows you to read this threaded comment; however, any edits to it will get removed if the file is opened in a newer version of Excel. Learn more: https://go.microsoft.com/fwlink/?linkid=870924
Comment:
    Pine Creek Stage 2A main process upgrade</t>
      </text>
    </comment>
    <comment ref="G26" authorId="9" shapeId="0" xr:uid="{B56F982F-34A9-451B-A1B3-2B4189CC8BC9}">
      <text>
        <t>[Threaded comment]
Your version of Excel allows you to read this threaded comment; however, any edits to it will get removed if the file is opened in a newer version of Excel. Learn more: https://go.microsoft.com/fwlink/?linkid=870924
Comment:
    Anticipated BB WWTP Plant E expansion in the future. OSL collection not started in this bylaw upate because spending is not projected to begin in the next business cycle</t>
      </text>
    </comment>
    <comment ref="C32" authorId="10" shapeId="0" xr:uid="{7AD49BBF-CF92-495F-B801-319D2B2659C1}">
      <text>
        <t>[Threaded comment]
Your version of Excel allows you to read this threaded comment; however, any edits to it will get removed if the file is opened in a newer version of Excel. Learn more: https://go.microsoft.com/fwlink/?linkid=870924
Comment:
    The original 2008 plant assumed 97% of the plant capacity was to serve Calgary</t>
      </text>
    </comment>
    <comment ref="D32" authorId="11" shapeId="0" xr:uid="{C083E942-6EB0-4509-861E-D10A3E53EFD2}">
      <text>
        <t>[Threaded comment]
Your version of Excel allows you to read this threaded comment; however, any edits to it will get removed if the file is opened in a newer version of Excel. Learn more: https://go.microsoft.com/fwlink/?linkid=870924
Comment:
    Capacity to serve Calgary after excluding regional customers.</t>
      </text>
    </comment>
    <comment ref="C34" authorId="1" shapeId="0" xr:uid="{A40E9D8A-65BA-4328-9463-F58769ED81ED}">
      <text>
        <r>
          <rPr>
            <b/>
            <sz val="9"/>
            <color indexed="81"/>
            <rFont val="Tahoma"/>
            <family val="2"/>
          </rPr>
          <t>Nguyen, Helena:</t>
        </r>
        <r>
          <rPr>
            <sz val="9"/>
            <color indexed="81"/>
            <rFont val="Tahoma"/>
            <family val="2"/>
          </rPr>
          <t xml:space="preserve">
benefit allocation. Refer to the OSL background report for the benefit allocation of 44.3% Greenfield and 32.3% Established Area
</t>
        </r>
      </text>
    </comment>
    <comment ref="C35" authorId="1" shapeId="0" xr:uid="{81FEE7F1-9F3A-4A80-BDAC-1B3A1917B6A4}">
      <text>
        <r>
          <rPr>
            <b/>
            <sz val="9"/>
            <color indexed="81"/>
            <rFont val="Tahoma"/>
            <family val="2"/>
          </rPr>
          <t>Nguyen, Helena:</t>
        </r>
        <r>
          <rPr>
            <sz val="9"/>
            <color indexed="81"/>
            <rFont val="Tahoma"/>
            <family val="2"/>
          </rPr>
          <t xml:space="preserve">
benefit allocation
Refer to the OSL background report for the benefit allocation of 31.5%Greenfield and 44.3% Established Area</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tc={87EA45AE-E482-432E-8CB5-59405602AEB4}</author>
  </authors>
  <commentList>
    <comment ref="C56" authorId="0" shapeId="0" xr:uid="{87EA45AE-E482-432E-8CB5-59405602AEB4}">
      <text>
        <t>[Threaded comment]
Your version of Excel allows you to read this threaded comment; however, any edits to it will get removed if the file is opened in a newer version of Excel. Learn more: https://go.microsoft.com/fwlink/?linkid=870924
Comment:
    This is the subtotal of construction costs only. Other costs required to build the plant, such as engineering consulting costs are not included here.</t>
      </text>
    </comment>
  </commentList>
</comments>
</file>

<file path=xl/sharedStrings.xml><?xml version="1.0" encoding="utf-8"?>
<sst xmlns="http://schemas.openxmlformats.org/spreadsheetml/2006/main" count="464" uniqueCount="322">
  <si>
    <t>HOW TO USE THIS DOCUMENT</t>
  </si>
  <si>
    <t xml:space="preserve">Welcome to the financial model used to determine the Off-site Levy (OSL) rates for water treatment and wastewater treatment as a part of the 2024 Off-site Levies Bylaw review. This financial model uses the latest information and assumptions available. 
These spreadsheets are intended to demonstrate the methodology on how the OSL rates are determined. The parameters and assumptions will be updated as new information becomes available. 
The water treatment and wastewater treatment rates are calculated independently using very similar methodology. Both use Equivalent Population (EP) as a unit to determine the cost to service an EP.
The OSL rate considers servicing the population within city boundaries only. The City of Calgary provides water treatment and wastewater treatment services to regional customers. The portion of capital costs required to service regional customers are separated from the OSL and recovered through Master Service Agreements (MSAs) with regional customers. The assumptions for regional customer servicing for each project is provided in various tabs of this file.
Cell comments have been added throughout this file to aid users in understand how inputs are determined and why specific values are used. </t>
  </si>
  <si>
    <t xml:space="preserve">Water Treatment Plant (WTP) Levy Tabs 1 - 5 </t>
  </si>
  <si>
    <t>Tab number</t>
  </si>
  <si>
    <t>Title</t>
  </si>
  <si>
    <t xml:space="preserve">Description </t>
  </si>
  <si>
    <t>Tab 1</t>
  </si>
  <si>
    <t xml:space="preserve">WTP Summary </t>
  </si>
  <si>
    <t>This tab provides a high level summary of the steps that are taken to determine the citywide water treatment plant levy rate calculation.</t>
  </si>
  <si>
    <t>Tab 2</t>
  </si>
  <si>
    <t xml:space="preserve">WTP Future + Current </t>
  </si>
  <si>
    <t>This tab provides details on how the net present value was calculated for the current capacity and future capacity of water treatment plants. Column D are the net present value which is used at Step 1 of the calculation (see summary tab). Tables 1 and 2 provide a breakdown of the forecasted capital costs and anticipated borrowing rates. Tables 3 and 4 calculate the debt servicing costs and net present value.</t>
  </si>
  <si>
    <t>Tab 3</t>
  </si>
  <si>
    <t xml:space="preserve">WTP Historic </t>
  </si>
  <si>
    <t>This tab provides a summary of the capital costs and future value of the debt servicing taken out on expenditures between 2000 - 2023. The historic projects can be found in the OSL Annual Report.</t>
  </si>
  <si>
    <t>Tab 4</t>
  </si>
  <si>
    <t xml:space="preserve">WTP Capital </t>
  </si>
  <si>
    <t>This tab provide details on the individual water treatment projects and its cash flow actuals (2016-2022) and projections (2023+). The project list goes back to 2016 so the project list for the 2016 OSL Bylaw update can be referenced.</t>
  </si>
  <si>
    <t xml:space="preserve">Tab 5 </t>
  </si>
  <si>
    <t>WTP Capacity</t>
  </si>
  <si>
    <t>This tab provides details on the population and water treatment capacity by year. It also shows the regional Master Service Agreements, which indicate the maximum contract volumes of potable water The City has with regional customers. It also shows assumptions used in water treatment planning criteria, and benefit allocation of pre-2015 projects using a previous methodology.</t>
  </si>
  <si>
    <t>Wastewater Treatment Plant (WWTP) Levy Tabs 6 - 11</t>
  </si>
  <si>
    <t>Tab 6</t>
  </si>
  <si>
    <t>WWTP Summary</t>
  </si>
  <si>
    <t xml:space="preserve">This tab provides a high level summary of the steps that are taken to determine the citywide wastewater treatment plant levy rate calculation. </t>
  </si>
  <si>
    <t xml:space="preserve">Tab 7 </t>
  </si>
  <si>
    <t>WWTP Future + Current</t>
  </si>
  <si>
    <t>This tab provides details on how the net present value was calculated for the current capacity and future capacity of wastewater treatment plants. Column D are the net present value which is used at Step 1 of the calculation (see summary tab).Tables 1 and 2 provide a breakdown of the forecasted capital costs and anticipated borrowing rates. Tables 3 and 4 calculate the debt servicing costs and net present value.</t>
  </si>
  <si>
    <t>Tab 8</t>
  </si>
  <si>
    <t>WWTP Historic</t>
  </si>
  <si>
    <t>Tab 9</t>
  </si>
  <si>
    <t>WWTP Capital</t>
  </si>
  <si>
    <t>This tab provide details on the individual wastewater treatment projects and its cash flow actuals (2016-2022) and projections (2023+). The project list goes back to 2016 so the project list for the 2016 OSL Bylaw update can be referenced.</t>
  </si>
  <si>
    <t>Tab 10</t>
  </si>
  <si>
    <t>WWTP Capacity</t>
  </si>
  <si>
    <t>This tab provides details on the population and wastewater treatment capacity by year, and the expected capacities of each expansion/upgrade project.</t>
  </si>
  <si>
    <t>Tab 11</t>
  </si>
  <si>
    <t>WWTP Pine Creek Costs</t>
  </si>
  <si>
    <t>Pine Creek WWTP was completed in 2008. From the beginning, Pine Creek WWTP was designed with expansion in mind. The plant's footprint in its current form is referred to as Stage 1. The expansion that will begin in the 2023-2026 business cycle is referred to as Stage 2A. Some process equipment was designed for expansion capability, where it was economical and logical to do so. This tab shows the allocation of costs across all stages for major process equipment. This information was provided by the engineering design and delivery team. All costs are in 2008 dollars. As shown in Tab 7, the original costs allotted to Stage 2A as a percentage of overall program cost (which was not included in previous OSL calculations) will be added in as a part of the Stage 2A expansion. Allotted costs for Stages 2B and beyond will be added back into OSL calculations when those expansions are triggered in the future.</t>
  </si>
  <si>
    <t xml:space="preserve">WATER TREATMENT </t>
  </si>
  <si>
    <t>2024 Levy Rate</t>
  </si>
  <si>
    <t xml:space="preserve">This tab provides a high level summary of the steps that are taken to determine the citywide water treatment plant levy rate calculation. </t>
  </si>
  <si>
    <t>Step 1</t>
  </si>
  <si>
    <t>Step 2</t>
  </si>
  <si>
    <t>Step 3</t>
  </si>
  <si>
    <t>Step 4</t>
  </si>
  <si>
    <t>Step 5</t>
  </si>
  <si>
    <t>Step 6</t>
  </si>
  <si>
    <t>Step 7</t>
  </si>
  <si>
    <t xml:space="preserve">Present value of the growth related costs for Calgary. Details for this step can be found in Tab 2, Tab 3 and Tab 4. </t>
  </si>
  <si>
    <t xml:space="preserve">The total current and forecasted capacity built to service growth in Calgary. Details for this step can be found in Tab 5. </t>
  </si>
  <si>
    <t>Determine the value of a unit of added capacity. Step 1 divided by Step 2.</t>
  </si>
  <si>
    <t xml:space="preserve">Total available current capacity plus forecasted capacity to be built. The purpose of this is to only charge for the capacity that is actually available to growth. Details for this step can be found in Tab 5. </t>
  </si>
  <si>
    <t>Determine the total value of available capacity.  Step 3 multiplied by Step 4</t>
  </si>
  <si>
    <t>Determine the average value of a unit of available capacity.  Step 5 divided by Step 4</t>
  </si>
  <si>
    <t>Determine the total greenfield offsite levy present value by hectare. Step 6 multiplied by a assumed density of 60 EP/Ha. The 60EP/Ha is the minimum planned density required for greenfield development. Please note Established Areas is charged on an EP basis, and not by hectares.</t>
  </si>
  <si>
    <r>
      <rPr>
        <b/>
        <sz val="9"/>
        <color rgb="FFC00000"/>
        <rFont val="Arial"/>
        <family val="2"/>
      </rPr>
      <t>Present Value</t>
    </r>
    <r>
      <rPr>
        <b/>
        <sz val="9"/>
        <color theme="1"/>
        <rFont val="Arial"/>
        <family val="2"/>
      </rPr>
      <t xml:space="preserve">
Calgary Growth (*)
Costs 
(A) </t>
    </r>
  </si>
  <si>
    <t>Added Capacity for Calgary Based on Forecasted Growth 
(B)</t>
  </si>
  <si>
    <t>Value per Unit of Added Growth Capacity 
(C) = (A) / (B)</t>
  </si>
  <si>
    <t>Total Available Growth Capacity 
(D)</t>
  </si>
  <si>
    <t>Value of Available Capacity 
(E) = (C) * (D)</t>
  </si>
  <si>
    <t>Average Unit Value of Current &amp; Future Available Capacity
(F) = (E) / (D)</t>
  </si>
  <si>
    <t>Capacity Charge
by Hectare
(G) = (F) * 60 EP/Ha</t>
  </si>
  <si>
    <t>Current Capacity (2004-2023)</t>
  </si>
  <si>
    <t>Future Capacity (2024 - 2038)</t>
  </si>
  <si>
    <t>Total</t>
  </si>
  <si>
    <t>CURRENT &amp; FUTURE COSTS OF GROWTH CAPACITY UPGRADES REQUIRED IN WATER TREATMENT PLANTS</t>
  </si>
  <si>
    <t>This tab provides details on how the net present value was calculated for the current capacity and future capacity of water treatment plants. Column D are the net present value which is used at Step 1 of the calculation (see summary tab).Tables 1 and 2 provide a breakdown of the forecasted capital costs and anticipated borrowing rates. Tables 3 and 4 calculate the debt servicing costs and net present value.</t>
  </si>
  <si>
    <t>TABLE 1: FORECASTED DEBT FINANCING COSTS / FUTURE CAPACITY FOR WATER TREATMENT PLANTS (In thousands)</t>
  </si>
  <si>
    <t>Capital Costs</t>
  </si>
  <si>
    <t>2023 &amp; Prior</t>
  </si>
  <si>
    <t>Growth Related Capital Costs Future Expansions</t>
  </si>
  <si>
    <t>Glenmore</t>
  </si>
  <si>
    <t>Bearspaw</t>
  </si>
  <si>
    <t xml:space="preserve">TABLE 2: ANTICIPATED FINANCIAL RATES </t>
  </si>
  <si>
    <t xml:space="preserve">Borrowing Term </t>
  </si>
  <si>
    <t xml:space="preserve">Interest Rate </t>
  </si>
  <si>
    <t>Interest Expense</t>
  </si>
  <si>
    <t>Debt Servicing</t>
  </si>
  <si>
    <t>Discount Rate</t>
  </si>
  <si>
    <t>TABLE 3: GLENMORE FUTURE CAPACITY DETAILS (In thousands)</t>
  </si>
  <si>
    <t>Year</t>
  </si>
  <si>
    <t>NPV
 Debt Servicing</t>
  </si>
  <si>
    <t>FV
 Debt Servicing</t>
  </si>
  <si>
    <t>Total Future</t>
  </si>
  <si>
    <t>TABLE 4: BEARSPAW FUTURE CAPACITY DETAILS (in thousands)</t>
  </si>
  <si>
    <t>NPV 
 Debt Servicing</t>
  </si>
  <si>
    <t>TOTAL COSTS OF FUTURE CAPACITY</t>
  </si>
  <si>
    <t xml:space="preserve">TOTAL COSTS OF CURRENT CAPACITY (SEE TAB 3 FOR DETAILS) </t>
  </si>
  <si>
    <t xml:space="preserve">TOTAL </t>
  </si>
  <si>
    <t xml:space="preserve"> HISTORIC DEBT FOR WATER TREATMENT PLANTS' CURRENT CAPACITY UPGRADES </t>
  </si>
  <si>
    <t>TABLE 1: HISTORIC DEBT SERVICING FOR 2000 - 2014 EXPENDITURES (in thousands)</t>
  </si>
  <si>
    <t>Capacity to Support Calgary Growth</t>
  </si>
  <si>
    <t>Future Debt Servicing</t>
  </si>
  <si>
    <t>Glenmore &amp; Bearspaw Debt Taken</t>
  </si>
  <si>
    <t>Glenmore &amp; Bearspaw Debt Interest</t>
  </si>
  <si>
    <t>Glenmore &amp; Bearspaw Debt Term (years)</t>
  </si>
  <si>
    <t>Glenmore &amp; Bearspaw Debt Servicing (2000-2014 Debt)</t>
  </si>
  <si>
    <t>Glenmore &amp; Bearspaw Cash Funding (2000-2014)</t>
  </si>
  <si>
    <t>Total Glenmore &amp; Bearspaw Funding (2000-2014)</t>
  </si>
  <si>
    <t>Glenmore &amp; Bearspaw Historical Inside City (2000-2014 Debt)</t>
  </si>
  <si>
    <t>TABLE 2: HISTORIC DEBT SERVICING FOR 2015 - 2023 EXPENDITURES (in thousands)</t>
  </si>
  <si>
    <t>Treatment Plant Debt Taken (2015+)</t>
  </si>
  <si>
    <t>Treatment Plant Debt Interest (2015+)</t>
  </si>
  <si>
    <t>Treatment Plant Debt Term (2015+)</t>
  </si>
  <si>
    <t>Treatment Plant Debt Taken Principal (2015+)</t>
  </si>
  <si>
    <t>Treatment Plant Debt Taken Interest (2015+)</t>
  </si>
  <si>
    <t>Treatment Plant Debt Servicing (2015+)</t>
  </si>
  <si>
    <t xml:space="preserve">TOTAL HISTORIC DEBT SERVICING OF CURRENT CAPACITY </t>
  </si>
  <si>
    <t>CAPITAL COST DETAILS OF CURRENT &amp; FUTURE PROJECTS</t>
  </si>
  <si>
    <r>
      <t xml:space="preserve">This tab provide details </t>
    </r>
    <r>
      <rPr>
        <sz val="10"/>
        <color theme="1"/>
        <rFont val="Arial"/>
        <family val="2"/>
      </rPr>
      <t>on the individual water treatment projects and it's cash flow actuals (2016-2022) and projections (2023+). The project list goes back to 2016 so the project list for the 2016 OSL Bylaw update can be referenced.</t>
    </r>
  </si>
  <si>
    <t>TABLE 1: GROWTH RELATED CAPITAL COSTS ( In thousand $)</t>
  </si>
  <si>
    <t>Project Name</t>
  </si>
  <si>
    <t>Plant</t>
  </si>
  <si>
    <t>Start or Estimated / Actual Completion Date</t>
  </si>
  <si>
    <t>Indicated Y/N if the project was identified in the 2016 Off-site Levy Bylaw</t>
  </si>
  <si>
    <t>Growth Benefit</t>
  </si>
  <si>
    <t>Greenfield &amp; Redevelopment Proportion of Costs</t>
  </si>
  <si>
    <t>TOTAL</t>
  </si>
  <si>
    <t>Growth</t>
  </si>
  <si>
    <t>% Greenfield</t>
  </si>
  <si>
    <t>%Redevelopment</t>
  </si>
  <si>
    <t>%Regional</t>
  </si>
  <si>
    <t>Glenmore UV Disinfection</t>
  </si>
  <si>
    <t xml:space="preserve">TBD </t>
  </si>
  <si>
    <t>Y</t>
  </si>
  <si>
    <t>GM WTP Capacity Expansion</t>
  </si>
  <si>
    <t>BPWTP Capacity Upgrades</t>
  </si>
  <si>
    <t>2017 - 2026</t>
  </si>
  <si>
    <t>Bearspaw RTF Fourth Thickener</t>
  </si>
  <si>
    <t>Completed</t>
  </si>
  <si>
    <t>Bearspaw UV Disinfection</t>
  </si>
  <si>
    <t>Bearspaw North Feeder Pump Station STN012 Upgrade</t>
  </si>
  <si>
    <t>2021-2023</t>
  </si>
  <si>
    <t>New Water Treatment Plant</t>
  </si>
  <si>
    <t>NEW</t>
  </si>
  <si>
    <t>N</t>
  </si>
  <si>
    <t>Water Treatment Capacity -  COMBINED SERVICE AREA (Bearspaw and Glenmore WTPs)</t>
  </si>
  <si>
    <t>TABLE 1:  POPULATION PROJECTS AND WATER TREATMENT CAPACITY AVAILABLE FOR CALGARY</t>
  </si>
  <si>
    <t>2022 Population Forecast Scenario                                         
  ("2022 MDP Update (Jan 2022)" + May 2019 Regional)</t>
  </si>
  <si>
    <t xml:space="preserve">Water Treatment Capacity </t>
  </si>
  <si>
    <t>BPWTP Upgrades</t>
  </si>
  <si>
    <t>GMWTP Upgrades</t>
  </si>
  <si>
    <t>Regional MSA Contracted Capacity (ML/d)</t>
  </si>
  <si>
    <t xml:space="preserve"> Capacity for Inside the City (ML/d)</t>
  </si>
  <si>
    <t>Calgary Equivalent Population (Jan 2022)</t>
  </si>
  <si>
    <t>Regional Equivalent Population (May 2019 Data)</t>
  </si>
  <si>
    <t>Total Service Area Equivalent Population</t>
  </si>
  <si>
    <t>Capacity of Combined Treatment Systems (ML/d)</t>
  </si>
  <si>
    <t>Capacity of Combined Treatment Plant Systems in Equiv Pop</t>
  </si>
  <si>
    <t>BPWTP Incremental Capacity (in Equiv Pop)</t>
  </si>
  <si>
    <t>GMWTP Incremental Capacity (in Equiv Pop)</t>
  </si>
  <si>
    <t>TABLE 2: BENEFIT ALLOCATION AND ASSUMPTIONS FOR PRE-2015 UPGRADES AND EXPANSIONS</t>
  </si>
  <si>
    <t>Inside City Plant Capacity</t>
  </si>
  <si>
    <t>TABLE 3: PER CAPITA PLANNING CRITERIA</t>
  </si>
  <si>
    <t>City Population</t>
  </si>
  <si>
    <t>Regional Population</t>
  </si>
  <si>
    <t>% Inside City</t>
  </si>
  <si>
    <t>Per Capita Consumption Assumptions</t>
  </si>
  <si>
    <t>Liters/EP/day</t>
  </si>
  <si>
    <t>up to 2020</t>
  </si>
  <si>
    <t>2021+</t>
  </si>
  <si>
    <t>TABLE 4: CURRENT AND FUTURE WATER TREATMENT CAPACITY AVAILABLE FOR CALGARY</t>
  </si>
  <si>
    <t>Capacity</t>
  </si>
  <si>
    <t>System Wide Capacity by Population (EP)
(B)</t>
  </si>
  <si>
    <t>Capacity to support Calgary Growth 
(C)</t>
  </si>
  <si>
    <t>Capacity to support Calgary Growth 
(B*C)</t>
  </si>
  <si>
    <t>Total Available Capacity to support Growth in Calgary (GF+EST) at the end of 2023</t>
  </si>
  <si>
    <t>Base Capacity (2004-2023)</t>
  </si>
  <si>
    <t>Future Capacity (2024+)</t>
  </si>
  <si>
    <t>Total Capacity</t>
  </si>
  <si>
    <t>THE CITY OF CALGARY</t>
  </si>
  <si>
    <t xml:space="preserve">WASTEWATER TREATMENT </t>
  </si>
  <si>
    <t xml:space="preserve">Present value of the growth related costs for Calgary. Details for this step can be found in Tab 7, Tab 8 and Tab 9. </t>
  </si>
  <si>
    <t xml:space="preserve">The total current and forecasted capacity built to service growth in Calgary. Details for this step can be found in Tab 10. </t>
  </si>
  <si>
    <t xml:space="preserve">Total available current capacity plus forecasted capacity to be built. The purpose of this is to only charge for the capacity that is actually available to growth. Details for this step can be found in Tab 10. </t>
  </si>
  <si>
    <t>Determine the total value of available capacity. Step 3 multiplied by Step 4</t>
  </si>
  <si>
    <t>Determine the total greenfield offsite levy present value by hectare.  Step 6 multiplied by a assumed density of 60 EP/Ha. The 60EP/Ha is the minimum planned density required for greenfield development. Please note Established Areas is charged on an EP basis, and not by hectares.</t>
  </si>
  <si>
    <t>Current Capacity  (2004-2014)</t>
  </si>
  <si>
    <t>Forecasted Future Capacity (2015+)</t>
  </si>
  <si>
    <t>Bonnybrook</t>
  </si>
  <si>
    <t>Pine &amp; Fish Creek</t>
  </si>
  <si>
    <t>CURRENT &amp; FUTURE COSTS OF GROWTH CAPACITY UPGRADES REQUIRED IN WASTEWATER TREATMENT PLANTS</t>
  </si>
  <si>
    <t>This tab provides details on how the net present value was calculated for the current capacity and future capacity of wastewater treatment plants. Column D are the net present value which is used at Step 1 of the calculation (see summary tab).Tables 1 and 2 provide a breakdown of the forecasted financing costs and anticipated financial rates. Tables 3 and 4 calculate the debt servicing costs and net present value.</t>
  </si>
  <si>
    <t>TABLE 1: FORECASTED DEBT FINANCING COSTS / FUTURE CAPACITY FOR WASTEWATER TREATMENT PLANTS (In thousands)</t>
  </si>
  <si>
    <t>Pine Creek + Fish Creek</t>
  </si>
  <si>
    <t>TABLE 2: ANTICIPATED FINANCIAL RATES</t>
  </si>
  <si>
    <t xml:space="preserve"> Total</t>
  </si>
  <si>
    <t>Interest Rate</t>
  </si>
  <si>
    <t xml:space="preserve">Discount Rate </t>
  </si>
  <si>
    <t>TABLE 3: BONNYBROOK FUTURE CAPACITY DETAILS (In thousands)</t>
  </si>
  <si>
    <t>NPV (**)
 Debt Servicing</t>
  </si>
  <si>
    <t>BB Historical (2015 - 2023)</t>
  </si>
  <si>
    <t>TABLE 4: PINE CREEK + FISH CREEK FUTURE CAPACITY DETAILS (In thousands)</t>
  </si>
  <si>
    <t>Pine Creek Stage 2A</t>
  </si>
  <si>
    <t>PINE HISTORICAL (2000 - 2014)</t>
  </si>
  <si>
    <t>TOTAL COSTS OF FUTURE CAPACITY (2015+)</t>
  </si>
  <si>
    <t xml:space="preserve"> HISTORIC DEBT FOR WASTEWATER TREATMENT PLANTS' CURRENT CAPACITY UPGRADES </t>
  </si>
  <si>
    <t>TABLE 1: HISTORIC DEBT SERVICING FOR 2000-2014 EXPENDITURES (in thousands)</t>
  </si>
  <si>
    <t>Pine Creek Debt Taken</t>
  </si>
  <si>
    <t>Pine Creek Debt Interest</t>
  </si>
  <si>
    <t>4.36%-4.65%</t>
  </si>
  <si>
    <t>4.78%-5.01%</t>
  </si>
  <si>
    <t>4.89%-4.95%</t>
  </si>
  <si>
    <t>4.68%-4.78%</t>
  </si>
  <si>
    <t>4.75%-4.98%</t>
  </si>
  <si>
    <t>Pine Creek Debt Term (years)</t>
  </si>
  <si>
    <t>20/25</t>
  </si>
  <si>
    <t>Pine Creek Debt Servicing</t>
  </si>
  <si>
    <t>Pine Creek Cash Funding</t>
  </si>
  <si>
    <t>Total Pine Creek Funding</t>
  </si>
  <si>
    <t>Pine Creek Applicable to Future Stages (2b, 3a, 3b,3c,3d)</t>
  </si>
  <si>
    <t>Pine Creek Applicable to Stage 2A</t>
  </si>
  <si>
    <t>Pine Creek Applicable to Stage 2A (Inside City)</t>
  </si>
  <si>
    <t>Pine Creek Historical Inside City</t>
  </si>
  <si>
    <t>TABLE 2: HISTORIC DEBT SERVICING FOR 2015-2023 EXPENDITURES (in thousands)</t>
  </si>
  <si>
    <t>Bonnybrook Debt Taken</t>
  </si>
  <si>
    <t>Bonnybrook Debt Interest</t>
  </si>
  <si>
    <t>2.97%-3.04%</t>
  </si>
  <si>
    <t>1.78%-2.3%</t>
  </si>
  <si>
    <t>2%-2.67%</t>
  </si>
  <si>
    <t>2.83%-3.01%</t>
  </si>
  <si>
    <t>1%-1.28%</t>
  </si>
  <si>
    <t>1.29%-1.73%</t>
  </si>
  <si>
    <t>1.67%-2.85%</t>
  </si>
  <si>
    <t>3.07%-4.7%</t>
  </si>
  <si>
    <t>4.9%-5.127%</t>
  </si>
  <si>
    <t>Bonnybrook Debt Term (years)</t>
  </si>
  <si>
    <t>Bonnybrook Debt Principal</t>
  </si>
  <si>
    <t>Bonnybrook Debt Servicing</t>
  </si>
  <si>
    <t xml:space="preserve"> CAPITAL COSTS</t>
  </si>
  <si>
    <t>GROWTH BENEFIT</t>
  </si>
  <si>
    <t xml:space="preserve">13.2&amp;5kv System Expansion </t>
  </si>
  <si>
    <t>BB</t>
  </si>
  <si>
    <t>Power Management System</t>
  </si>
  <si>
    <t>Power Distribution Upgrades</t>
  </si>
  <si>
    <t>Scope merged with another project</t>
  </si>
  <si>
    <t>600V System Upgrades</t>
  </si>
  <si>
    <t>BB Dewatering Building</t>
  </si>
  <si>
    <t>BB Centrate / Supernatant Treatment</t>
  </si>
  <si>
    <t>2025-2028</t>
  </si>
  <si>
    <t>BB Plant D Expansion</t>
  </si>
  <si>
    <t>2015-2030</t>
  </si>
  <si>
    <t>FC WWTP Capacity Assessment</t>
  </si>
  <si>
    <t>Pine/Fish</t>
  </si>
  <si>
    <t>BB Struvite Recovery</t>
  </si>
  <si>
    <t>2024-2027</t>
  </si>
  <si>
    <t>Pine Creek WWTP Stage 2 Expansion</t>
  </si>
  <si>
    <t>Pine</t>
  </si>
  <si>
    <t>2025-2036</t>
  </si>
  <si>
    <t>South Catchment Capacity Upgrade (remove costs of study)</t>
  </si>
  <si>
    <t>2024-2025</t>
  </si>
  <si>
    <t>WS - BB Blower Upgrades</t>
  </si>
  <si>
    <t>Bonnybrook Capacity Upgrades</t>
  </si>
  <si>
    <t>TABLE 2: GROWTH RELATED CAPITAL COSTS BY PLANT (In thousand $)</t>
  </si>
  <si>
    <t>TABLE 3: GROWTH RELATED CAPITAL COSTS BY PLANT - GREENFIELD &amp; REDEVELOPMENT PROPORTION OF COSTS ( In thousand $)</t>
  </si>
  <si>
    <t>Summary of Capital Costs</t>
  </si>
  <si>
    <t>Totals</t>
  </si>
  <si>
    <t>Base Capacity</t>
  </si>
  <si>
    <t>Pine Creek &amp; Fish</t>
  </si>
  <si>
    <t>WASTEWATER TREATMENT CAPACITY -  COMBINED SERVICE AREA (Bonnybrook, Fish Creek and Pine Creek WWTPs)</t>
  </si>
  <si>
    <t>TABLE 1: POPULATION PROJECTIONS AND WASTEWATER TREATMENT CAPACITY AVAILABLE FOR CALGARY</t>
  </si>
  <si>
    <t>2022 Population Forecast Scenario   
("2022 MDP Update (Jan 2022)" + Dec 2020 Regional)</t>
  </si>
  <si>
    <t>Capacity of Combined Treatment Plant Systems (EP)</t>
  </si>
  <si>
    <t>PCWWTP</t>
  </si>
  <si>
    <t xml:space="preserve">BBWWTP Upgrade and Plant D </t>
  </si>
  <si>
    <t>City Equivalent Population (Jan 2022)</t>
  </si>
  <si>
    <t>Regional Equvalent Population (Dec 2020 Data)</t>
  </si>
  <si>
    <t>PCWWTP Capacity (EP)</t>
  </si>
  <si>
    <t>BBWWTP Capacity Upgrade (EP)</t>
  </si>
  <si>
    <t>TABLE 2: CURRENT AND FUTURE WASTEWATER TREATMENT CAPACITY AVAILABLE FOR CALGARY</t>
  </si>
  <si>
    <t>Capacity to support Growth (GF+EST) at the end of 2023</t>
  </si>
  <si>
    <t>Base Capacity ( 2004-2014)</t>
  </si>
  <si>
    <t>Future Capacity (2015+)</t>
  </si>
  <si>
    <t>Pine Creek &amp; Fish Creek</t>
  </si>
  <si>
    <t>Total Future Capacity</t>
  </si>
  <si>
    <t>PINE CREEK WWTP -  Distribution of 2008 Construction Costs Across All Stages</t>
  </si>
  <si>
    <t>TABLE 1: PINE CREEK WWTP STAGE 1 TOTAL COST BY PROCESS AREA (In M$)</t>
  </si>
  <si>
    <t>TABLE 2: DISTRIBUTION OF STAGE 1 TOTAL COSTS ACROSS ALL STAGES</t>
  </si>
  <si>
    <t>Process Area</t>
  </si>
  <si>
    <t>Stage 1 Total Costs</t>
  </si>
  <si>
    <t>Additional cost: Stage 1 costs allotted to Stage 2A</t>
  </si>
  <si>
    <t>Stage 1</t>
  </si>
  <si>
    <t>Stage 2A</t>
  </si>
  <si>
    <t>Stage 2B</t>
  </si>
  <si>
    <t>Stage 3A</t>
  </si>
  <si>
    <t>Stage 3B</t>
  </si>
  <si>
    <t>Stage 3C</t>
  </si>
  <si>
    <t>Stage 3D</t>
  </si>
  <si>
    <t>Total Stage 1 to Stage 3D</t>
  </si>
  <si>
    <t>Site Development</t>
  </si>
  <si>
    <t>Headworks</t>
  </si>
  <si>
    <t>Influent Pumps</t>
  </si>
  <si>
    <t>Screening</t>
  </si>
  <si>
    <t>Grit Removal</t>
  </si>
  <si>
    <t>Truck Loadout</t>
  </si>
  <si>
    <t>Primary Treatment</t>
  </si>
  <si>
    <t>Primary Clarifiers</t>
  </si>
  <si>
    <t>Odour Control</t>
  </si>
  <si>
    <t>Secondary Treatment</t>
  </si>
  <si>
    <t>Bioreactors</t>
  </si>
  <si>
    <t>Secondary Clarifiers</t>
  </si>
  <si>
    <t>Blower Building</t>
  </si>
  <si>
    <t>Tertiary Treatment &amp; Outfall</t>
  </si>
  <si>
    <t>Filtration</t>
  </si>
  <si>
    <t>UV Disinfection</t>
  </si>
  <si>
    <t>Outfall</t>
  </si>
  <si>
    <t>Solids Processing</t>
  </si>
  <si>
    <t>WAS Thickening</t>
  </si>
  <si>
    <t>Fermenters</t>
  </si>
  <si>
    <t>Digesters</t>
  </si>
  <si>
    <t xml:space="preserve">DSST &amp; Pumping </t>
  </si>
  <si>
    <t>Digester Gas Handling</t>
  </si>
  <si>
    <t>Gas Handling</t>
  </si>
  <si>
    <t>PGH</t>
  </si>
  <si>
    <t>Cogeneration</t>
  </si>
  <si>
    <t>Other</t>
  </si>
  <si>
    <t>OMA Building</t>
  </si>
  <si>
    <t>Computer System</t>
  </si>
  <si>
    <t>Lab &amp; Office Bldg.</t>
  </si>
  <si>
    <t>-</t>
  </si>
  <si>
    <t>Subtotal - Construction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</si>
</sst>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6" formatCode="&quot;$&quot;#,##0_);[Red]\(&quot;$&quot;#,##0\)"/>
    <numFmt numFmtId="8" formatCode="&quot;$&quot;#,##0.00_);[Red]\(&quot;$&quot;#,##0.00\)"/>
    <numFmt numFmtId="44" formatCode="_(&quot;$&quot;* #,##0.00_);_(&quot;$&quot;* \(#,##0.00\);_(&quot;$&quot;* &quot;-&quot;??_);_(@_)"/>
    <numFmt numFmtId="43" formatCode="_(* #,##0.00_);_(* \(#,##0.00\);_(* &quot;-&quot;??_);_(@_)"/>
    <numFmt numFmtId="164" formatCode="_(* #,##0_);_(* \(#,##0\);_(* &quot;-&quot;??_);_(@_)"/>
    <numFmt numFmtId="165" formatCode="_(&quot;$&quot;* #,##0_);_(&quot;$&quot;* \(#,##0\);_(&quot;$&quot;* &quot;-&quot;??_);_(@_)"/>
    <numFmt numFmtId="166" formatCode="0.0%"/>
    <numFmt numFmtId="167" formatCode="_-* #,##0_-;\-* #,##0_-;_-* &quot;-&quot;??_-;_-@_-"/>
    <numFmt numFmtId="168" formatCode="_(* #,###&quot;EP&quot;_);_(* \(#,##0.0\);_(* &quot;-&quot;??_);_(@_)"/>
    <numFmt numFmtId="169" formatCode="_-* #,##0.00_-;\-* #,##0.00_-;_-* &quot;-&quot;??_-;_-@_-"/>
    <numFmt numFmtId="170" formatCode="&quot;$&quot;#,##0"/>
    <numFmt numFmtId="171" formatCode="#,##0_);\(#,##0\);\-"/>
    <numFmt numFmtId="172" formatCode="_(* #,###&quot;years&quot;_);_(* \(#,##0.00\);_(* &quot;-&quot;??_);_(@_)"/>
    <numFmt numFmtId="173" formatCode="&quot;$&quot;#,##0.00"/>
    <numFmt numFmtId="174" formatCode="_(* #,###&quot;$/EP&quot;_);_(* \(#,##0.0\);_(* &quot;-&quot;??_);_(@_)"/>
    <numFmt numFmtId="175" formatCode="_(* #,###&quot;$/Ha&quot;_);_(* \(#,##0.0\);_(* &quot;-&quot;??_);_(@_)"/>
    <numFmt numFmtId="176" formatCode="&quot;$&quot;#,##0.0"/>
    <numFmt numFmtId="177" formatCode="&quot;$&quot;#,##0.0000"/>
    <numFmt numFmtId="178" formatCode="&quot;$&quot;#,##0.00000"/>
  </numFmts>
  <fonts count="39"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b/>
      <sz val="9"/>
      <name val="Arial"/>
      <family val="2"/>
    </font>
    <font>
      <sz val="9"/>
      <name val="Arial"/>
      <family val="2"/>
    </font>
    <font>
      <sz val="10"/>
      <color theme="1"/>
      <name val="Arial"/>
      <family val="2"/>
    </font>
    <font>
      <b/>
      <sz val="10"/>
      <color theme="1"/>
      <name val="Arial"/>
      <family val="2"/>
    </font>
    <font>
      <sz val="11"/>
      <color rgb="FF0070C0"/>
      <name val="Calibri"/>
      <family val="2"/>
      <scheme val="minor"/>
    </font>
    <font>
      <b/>
      <sz val="9"/>
      <color theme="1"/>
      <name val="Arial"/>
      <family val="2"/>
    </font>
    <font>
      <sz val="9"/>
      <color theme="1"/>
      <name val="Arial"/>
      <family val="2"/>
    </font>
    <font>
      <sz val="8"/>
      <name val="Arial"/>
      <family val="2"/>
    </font>
    <font>
      <u val="singleAccounting"/>
      <sz val="9"/>
      <color theme="1"/>
      <name val="Arial"/>
      <family val="2"/>
    </font>
    <font>
      <b/>
      <sz val="9"/>
      <color indexed="81"/>
      <name val="Tahoma"/>
      <family val="2"/>
    </font>
    <font>
      <sz val="9"/>
      <color indexed="81"/>
      <name val="Tahoma"/>
      <family val="2"/>
    </font>
    <font>
      <b/>
      <u val="singleAccounting"/>
      <sz val="9"/>
      <name val="Arial"/>
      <family val="2"/>
    </font>
    <font>
      <sz val="10"/>
      <color rgb="FFFF0000"/>
      <name val="Arial"/>
      <family val="2"/>
    </font>
    <font>
      <u val="singleAccounting"/>
      <sz val="10"/>
      <color theme="1"/>
      <name val="Arial"/>
      <family val="2"/>
    </font>
    <font>
      <sz val="9"/>
      <color theme="6" tint="-0.499984740745262"/>
      <name val="Arial"/>
      <family val="2"/>
    </font>
    <font>
      <b/>
      <sz val="9"/>
      <color theme="6" tint="-0.499984740745262"/>
      <name val="Arial"/>
      <family val="2"/>
    </font>
    <font>
      <sz val="10"/>
      <color rgb="FF0A1A92"/>
      <name val="Arial"/>
      <family val="2"/>
    </font>
    <font>
      <sz val="9"/>
      <color rgb="FFFF0000"/>
      <name val="Arial"/>
      <family val="2"/>
    </font>
    <font>
      <u/>
      <sz val="9"/>
      <color theme="1"/>
      <name val="Arial"/>
      <family val="2"/>
    </font>
    <font>
      <sz val="9"/>
      <color theme="3" tint="0.39997558519241921"/>
      <name val="Arial"/>
      <family val="2"/>
    </font>
    <font>
      <sz val="11"/>
      <name val="Calibri"/>
      <family val="2"/>
      <scheme val="minor"/>
    </font>
    <font>
      <b/>
      <sz val="12"/>
      <name val="Arial"/>
      <family val="2"/>
    </font>
    <font>
      <b/>
      <sz val="12"/>
      <color theme="1"/>
      <name val="Arial"/>
      <family val="2"/>
    </font>
    <font>
      <sz val="11"/>
      <color theme="1"/>
      <name val="Arial"/>
      <family val="2"/>
    </font>
    <font>
      <sz val="8"/>
      <name val="Calibri"/>
      <family val="2"/>
      <scheme val="minor"/>
    </font>
    <font>
      <sz val="9"/>
      <color rgb="FFC00000"/>
      <name val="Arial"/>
      <family val="2"/>
    </font>
    <font>
      <b/>
      <sz val="9"/>
      <color rgb="FFC00000"/>
      <name val="Arial"/>
      <family val="2"/>
    </font>
    <font>
      <sz val="9"/>
      <color theme="1"/>
      <name val="Calibri"/>
      <family val="2"/>
      <scheme val="minor"/>
    </font>
    <font>
      <sz val="9"/>
      <color rgb="FF0A1792"/>
      <name val="Arial"/>
      <family val="2"/>
    </font>
    <font>
      <b/>
      <sz val="9"/>
      <color rgb="FF7030A0"/>
      <name val="Arial"/>
      <family val="2"/>
    </font>
    <font>
      <sz val="9"/>
      <color rgb="FF0A1A92"/>
      <name val="Arial"/>
      <family val="2"/>
    </font>
    <font>
      <sz val="10"/>
      <color rgb="FFC00000"/>
      <name val="Arial"/>
      <family val="2"/>
    </font>
    <font>
      <b/>
      <sz val="11"/>
      <name val="Calibri"/>
      <family val="2"/>
      <scheme val="minor"/>
    </font>
    <font>
      <b/>
      <u/>
      <sz val="9"/>
      <color theme="1"/>
      <name val="Arial"/>
      <family val="2"/>
    </font>
    <font>
      <b/>
      <sz val="14"/>
      <color theme="1"/>
      <name val="Arial"/>
      <family val="2"/>
    </font>
  </fonts>
  <fills count="8">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indexed="22"/>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0" tint="-0.14999847407452621"/>
        <bgColor indexed="64"/>
      </patternFill>
    </fill>
  </fills>
  <borders count="40">
    <border>
      <left/>
      <right/>
      <top/>
      <bottom/>
      <diagonal/>
    </border>
    <border>
      <left style="thin">
        <color auto="1"/>
      </left>
      <right/>
      <top style="thin">
        <color auto="1"/>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auto="1"/>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bottom/>
      <diagonal/>
    </border>
    <border>
      <left/>
      <right/>
      <top style="medium">
        <color indexed="64"/>
      </top>
      <bottom/>
      <diagonal/>
    </border>
    <border>
      <left style="medium">
        <color indexed="64"/>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top/>
      <bottom style="double">
        <color indexed="64"/>
      </bottom>
      <diagonal/>
    </border>
    <border>
      <left/>
      <right/>
      <top/>
      <bottom style="double">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style="medium">
        <color indexed="64"/>
      </top>
      <bottom/>
      <diagonal/>
    </border>
    <border>
      <left style="medium">
        <color auto="1"/>
      </left>
      <right style="thin">
        <color auto="1"/>
      </right>
      <top style="medium">
        <color indexed="64"/>
      </top>
      <bottom/>
      <diagonal/>
    </border>
    <border>
      <left style="thin">
        <color auto="1"/>
      </left>
      <right style="thin">
        <color auto="1"/>
      </right>
      <top style="medium">
        <color indexed="64"/>
      </top>
      <bottom/>
      <diagonal/>
    </border>
    <border>
      <left style="thin">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s>
  <cellStyleXfs count="11">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3" fillId="0" borderId="0"/>
    <xf numFmtId="0" fontId="11" fillId="4" borderId="0">
      <alignment horizontal="left" indent="6"/>
    </xf>
    <xf numFmtId="43"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169" fontId="1" fillId="0" borderId="0" applyFont="0" applyFill="0" applyBorder="0" applyAlignment="0" applyProtection="0"/>
  </cellStyleXfs>
  <cellXfs count="591">
    <xf numFmtId="0" fontId="0" fillId="0" borderId="0" xfId="0"/>
    <xf numFmtId="164" fontId="0" fillId="2" borderId="0" xfId="1" applyNumberFormat="1" applyFont="1" applyFill="1" applyBorder="1"/>
    <xf numFmtId="164" fontId="0" fillId="2" borderId="0" xfId="0" applyNumberFormat="1" applyFill="1"/>
    <xf numFmtId="0" fontId="0" fillId="2" borderId="0" xfId="0" applyFill="1"/>
    <xf numFmtId="0" fontId="0" fillId="2" borderId="0" xfId="0" applyFill="1" applyAlignment="1">
      <alignment wrapText="1"/>
    </xf>
    <xf numFmtId="0" fontId="7" fillId="2" borderId="0" xfId="0" applyFont="1" applyFill="1" applyAlignment="1">
      <alignment horizontal="left"/>
    </xf>
    <xf numFmtId="0" fontId="7" fillId="2" borderId="0" xfId="0" applyFont="1" applyFill="1" applyAlignment="1">
      <alignment horizontal="center"/>
    </xf>
    <xf numFmtId="9" fontId="7" fillId="2" borderId="0" xfId="3" applyFont="1" applyFill="1" applyBorder="1" applyAlignment="1">
      <alignment horizontal="left"/>
    </xf>
    <xf numFmtId="0" fontId="6" fillId="2" borderId="0" xfId="0" applyFont="1" applyFill="1" applyAlignment="1">
      <alignment horizontal="center"/>
    </xf>
    <xf numFmtId="164" fontId="6" fillId="2" borderId="0" xfId="0" applyNumberFormat="1" applyFont="1" applyFill="1" applyAlignment="1">
      <alignment horizontal="center"/>
    </xf>
    <xf numFmtId="168" fontId="7" fillId="2" borderId="0" xfId="1" applyNumberFormat="1" applyFont="1" applyFill="1" applyBorder="1" applyAlignment="1">
      <alignment horizontal="center"/>
    </xf>
    <xf numFmtId="43" fontId="0" fillId="2" borderId="0" xfId="0" applyNumberFormat="1" applyFill="1" applyAlignment="1">
      <alignment wrapText="1"/>
    </xf>
    <xf numFmtId="164" fontId="8" fillId="2" borderId="0" xfId="1" applyNumberFormat="1" applyFont="1" applyFill="1" applyBorder="1"/>
    <xf numFmtId="0" fontId="8" fillId="2" borderId="0" xfId="0" applyFont="1" applyFill="1"/>
    <xf numFmtId="0" fontId="9" fillId="0" borderId="0" xfId="0" applyFont="1"/>
    <xf numFmtId="0" fontId="9" fillId="0" borderId="0" xfId="0" applyFont="1" applyAlignment="1">
      <alignment horizontal="left"/>
    </xf>
    <xf numFmtId="0" fontId="10" fillId="0" borderId="0" xfId="0" applyFont="1"/>
    <xf numFmtId="9" fontId="10" fillId="2" borderId="4" xfId="3" applyFont="1" applyFill="1" applyBorder="1"/>
    <xf numFmtId="9" fontId="10" fillId="2" borderId="0" xfId="3" applyFont="1" applyFill="1" applyBorder="1"/>
    <xf numFmtId="9" fontId="10" fillId="2" borderId="5" xfId="3" applyFont="1" applyFill="1" applyBorder="1"/>
    <xf numFmtId="171" fontId="10" fillId="0" borderId="0" xfId="1" applyNumberFormat="1" applyFont="1" applyFill="1" applyBorder="1"/>
    <xf numFmtId="0" fontId="5" fillId="2" borderId="0" xfId="0" applyFont="1" applyFill="1" applyAlignment="1">
      <alignment horizontal="left"/>
    </xf>
    <xf numFmtId="0" fontId="5" fillId="0" borderId="0" xfId="0" applyFont="1"/>
    <xf numFmtId="0" fontId="10" fillId="0" borderId="4" xfId="0" applyFont="1" applyBorder="1"/>
    <xf numFmtId="165" fontId="10" fillId="0" borderId="5" xfId="2" applyNumberFormat="1" applyFont="1" applyBorder="1"/>
    <xf numFmtId="170" fontId="10" fillId="0" borderId="0" xfId="0" applyNumberFormat="1" applyFont="1"/>
    <xf numFmtId="0" fontId="10" fillId="0" borderId="6" xfId="0" applyFont="1" applyBorder="1"/>
    <xf numFmtId="0" fontId="10" fillId="0" borderId="7" xfId="0" applyFont="1" applyBorder="1"/>
    <xf numFmtId="0" fontId="10" fillId="0" borderId="0" xfId="0" applyFont="1" applyAlignment="1">
      <alignment horizontal="left"/>
    </xf>
    <xf numFmtId="165" fontId="10" fillId="0" borderId="0" xfId="0" applyNumberFormat="1" applyFont="1"/>
    <xf numFmtId="0" fontId="5" fillId="0" borderId="0" xfId="4" applyFont="1"/>
    <xf numFmtId="44" fontId="5" fillId="0" borderId="0" xfId="4" applyNumberFormat="1" applyFont="1"/>
    <xf numFmtId="0" fontId="4" fillId="3" borderId="1" xfId="4" applyFont="1" applyFill="1" applyBorder="1"/>
    <xf numFmtId="0" fontId="4" fillId="3" borderId="2" xfId="4" applyFont="1" applyFill="1" applyBorder="1"/>
    <xf numFmtId="0" fontId="5" fillId="3" borderId="2" xfId="4" applyFont="1" applyFill="1" applyBorder="1"/>
    <xf numFmtId="164" fontId="10" fillId="3" borderId="2" xfId="6" applyNumberFormat="1" applyFont="1" applyFill="1" applyBorder="1"/>
    <xf numFmtId="0" fontId="5" fillId="3" borderId="3" xfId="4" applyFont="1" applyFill="1" applyBorder="1"/>
    <xf numFmtId="0" fontId="4" fillId="3" borderId="0" xfId="4" applyFont="1" applyFill="1"/>
    <xf numFmtId="0" fontId="5" fillId="3" borderId="5" xfId="4" applyFont="1" applyFill="1" applyBorder="1"/>
    <xf numFmtId="0" fontId="5" fillId="3" borderId="9" xfId="4" applyFont="1" applyFill="1" applyBorder="1"/>
    <xf numFmtId="0" fontId="5" fillId="3" borderId="10" xfId="4" applyFont="1" applyFill="1" applyBorder="1"/>
    <xf numFmtId="0" fontId="4" fillId="3" borderId="9" xfId="4" applyFont="1" applyFill="1" applyBorder="1" applyAlignment="1">
      <alignment horizontal="center"/>
    </xf>
    <xf numFmtId="0" fontId="4" fillId="3" borderId="10" xfId="4" applyFont="1" applyFill="1" applyBorder="1" applyAlignment="1">
      <alignment horizontal="center"/>
    </xf>
    <xf numFmtId="0" fontId="4" fillId="3" borderId="11" xfId="4" applyFont="1" applyFill="1" applyBorder="1" applyAlignment="1">
      <alignment horizontal="center"/>
    </xf>
    <xf numFmtId="0" fontId="5" fillId="0" borderId="4" xfId="4" applyFont="1" applyBorder="1"/>
    <xf numFmtId="0" fontId="5" fillId="0" borderId="5" xfId="4" applyFont="1" applyBorder="1"/>
    <xf numFmtId="165" fontId="10" fillId="0" borderId="0" xfId="2" applyNumberFormat="1" applyFont="1" applyFill="1" applyBorder="1"/>
    <xf numFmtId="165" fontId="5" fillId="0" borderId="5" xfId="4" applyNumberFormat="1" applyFont="1" applyBorder="1"/>
    <xf numFmtId="165" fontId="5" fillId="0" borderId="0" xfId="4" applyNumberFormat="1" applyFont="1"/>
    <xf numFmtId="172" fontId="5" fillId="0" borderId="0" xfId="4" applyNumberFormat="1" applyFont="1"/>
    <xf numFmtId="166" fontId="10" fillId="0" borderId="0" xfId="7" applyNumberFormat="1" applyFont="1" applyFill="1" applyBorder="1"/>
    <xf numFmtId="166" fontId="10" fillId="0" borderId="0" xfId="7" applyNumberFormat="1" applyFont="1" applyBorder="1"/>
    <xf numFmtId="0" fontId="4" fillId="0" borderId="6" xfId="4" applyFont="1" applyBorder="1"/>
    <xf numFmtId="0" fontId="4" fillId="0" borderId="7" xfId="4" applyFont="1" applyBorder="1"/>
    <xf numFmtId="165" fontId="5" fillId="0" borderId="7" xfId="4" applyNumberFormat="1" applyFont="1" applyBorder="1"/>
    <xf numFmtId="0" fontId="5" fillId="0" borderId="7" xfId="4" applyFont="1" applyBorder="1"/>
    <xf numFmtId="0" fontId="5" fillId="0" borderId="8" xfId="4" applyFont="1" applyBorder="1"/>
    <xf numFmtId="0" fontId="4" fillId="3" borderId="1" xfId="4" applyFont="1" applyFill="1" applyBorder="1" applyAlignment="1">
      <alignment horizontal="left"/>
    </xf>
    <xf numFmtId="0" fontId="4" fillId="3" borderId="2" xfId="4" applyFont="1" applyFill="1" applyBorder="1" applyAlignment="1">
      <alignment horizontal="left"/>
    </xf>
    <xf numFmtId="0" fontId="5" fillId="3" borderId="2" xfId="4" applyFont="1" applyFill="1" applyBorder="1" applyAlignment="1">
      <alignment horizontal="centerContinuous"/>
    </xf>
    <xf numFmtId="0" fontId="4" fillId="3" borderId="0" xfId="4" applyFont="1" applyFill="1" applyAlignment="1">
      <alignment horizontal="center" wrapText="1"/>
    </xf>
    <xf numFmtId="0" fontId="4" fillId="3" borderId="0" xfId="4" applyFont="1" applyFill="1" applyAlignment="1">
      <alignment horizontal="right"/>
    </xf>
    <xf numFmtId="6" fontId="5" fillId="0" borderId="0" xfId="4" applyNumberFormat="1" applyFont="1"/>
    <xf numFmtId="6" fontId="5" fillId="0" borderId="4" xfId="4" applyNumberFormat="1" applyFont="1" applyBorder="1"/>
    <xf numFmtId="6" fontId="5" fillId="0" borderId="5" xfId="4" applyNumberFormat="1" applyFont="1" applyBorder="1"/>
    <xf numFmtId="6" fontId="10" fillId="0" borderId="0" xfId="2" applyNumberFormat="1" applyFont="1" applyBorder="1"/>
    <xf numFmtId="6" fontId="10" fillId="0" borderId="5" xfId="2" applyNumberFormat="1" applyFont="1" applyBorder="1"/>
    <xf numFmtId="0" fontId="4" fillId="0" borderId="4" xfId="4" applyFont="1" applyBorder="1" applyAlignment="1">
      <alignment horizontal="right"/>
    </xf>
    <xf numFmtId="165" fontId="4" fillId="0" borderId="0" xfId="2" applyNumberFormat="1" applyFont="1" applyBorder="1"/>
    <xf numFmtId="165" fontId="4" fillId="0" borderId="5" xfId="2" applyNumberFormat="1" applyFont="1" applyBorder="1"/>
    <xf numFmtId="165" fontId="15" fillId="0" borderId="0" xfId="2" applyNumberFormat="1" applyFont="1" applyBorder="1"/>
    <xf numFmtId="165" fontId="15" fillId="0" borderId="0" xfId="4" applyNumberFormat="1" applyFont="1"/>
    <xf numFmtId="0" fontId="5" fillId="0" borderId="6" xfId="4" applyFont="1" applyBorder="1"/>
    <xf numFmtId="6" fontId="5" fillId="0" borderId="7" xfId="4" applyNumberFormat="1" applyFont="1" applyBorder="1"/>
    <xf numFmtId="6" fontId="10" fillId="0" borderId="7" xfId="2" applyNumberFormat="1" applyFont="1" applyBorder="1"/>
    <xf numFmtId="6" fontId="10" fillId="0" borderId="8" xfId="2" applyNumberFormat="1" applyFont="1" applyBorder="1"/>
    <xf numFmtId="0" fontId="4" fillId="3" borderId="9" xfId="4" applyFont="1" applyFill="1" applyBorder="1" applyAlignment="1">
      <alignment horizontal="left"/>
    </xf>
    <xf numFmtId="0" fontId="4" fillId="3" borderId="10" xfId="4" applyFont="1" applyFill="1" applyBorder="1" applyAlignment="1">
      <alignment horizontal="left"/>
    </xf>
    <xf numFmtId="0" fontId="5" fillId="3" borderId="10" xfId="4" applyFont="1" applyFill="1" applyBorder="1" applyAlignment="1">
      <alignment horizontal="centerContinuous"/>
    </xf>
    <xf numFmtId="0" fontId="5" fillId="3" borderId="11" xfId="4" applyFont="1" applyFill="1" applyBorder="1"/>
    <xf numFmtId="0" fontId="5" fillId="0" borderId="1" xfId="4" applyFont="1" applyBorder="1"/>
    <xf numFmtId="0" fontId="5" fillId="0" borderId="2" xfId="4" applyFont="1" applyBorder="1"/>
    <xf numFmtId="0" fontId="5" fillId="0" borderId="3" xfId="4" applyFont="1" applyBorder="1"/>
    <xf numFmtId="165" fontId="10" fillId="0" borderId="0" xfId="2" applyNumberFormat="1" applyFont="1" applyFill="1"/>
    <xf numFmtId="0" fontId="4" fillId="0" borderId="9" xfId="4" applyFont="1" applyBorder="1"/>
    <xf numFmtId="165" fontId="4" fillId="0" borderId="10" xfId="2" applyNumberFormat="1" applyFont="1" applyBorder="1"/>
    <xf numFmtId="43" fontId="0" fillId="2" borderId="0" xfId="0" applyNumberFormat="1" applyFill="1"/>
    <xf numFmtId="0" fontId="6" fillId="0" borderId="0" xfId="0" applyFont="1"/>
    <xf numFmtId="0" fontId="6" fillId="0" borderId="0" xfId="0" applyFont="1" applyAlignment="1">
      <alignment horizontal="center"/>
    </xf>
    <xf numFmtId="164" fontId="6" fillId="0" borderId="0" xfId="0" applyNumberFormat="1" applyFont="1"/>
    <xf numFmtId="43" fontId="6" fillId="0" borderId="0" xfId="1" applyFont="1" applyBorder="1"/>
    <xf numFmtId="165" fontId="18" fillId="0" borderId="0" xfId="4" applyNumberFormat="1" applyFont="1"/>
    <xf numFmtId="172" fontId="18" fillId="0" borderId="0" xfId="4" applyNumberFormat="1" applyFont="1"/>
    <xf numFmtId="8" fontId="5" fillId="0" borderId="0" xfId="4" applyNumberFormat="1" applyFont="1"/>
    <xf numFmtId="165" fontId="10" fillId="0" borderId="5" xfId="2" applyNumberFormat="1" applyFont="1" applyFill="1" applyBorder="1"/>
    <xf numFmtId="6" fontId="10" fillId="0" borderId="0" xfId="2" applyNumberFormat="1" applyFont="1" applyFill="1" applyBorder="1"/>
    <xf numFmtId="14" fontId="6" fillId="0" borderId="0" xfId="0" applyNumberFormat="1" applyFont="1" applyAlignment="1">
      <alignment horizontal="center"/>
    </xf>
    <xf numFmtId="0" fontId="16" fillId="0" borderId="0" xfId="0" applyFont="1" applyAlignment="1">
      <alignment horizontal="left"/>
    </xf>
    <xf numFmtId="3" fontId="6" fillId="0" borderId="0" xfId="0" applyNumberFormat="1" applyFont="1"/>
    <xf numFmtId="0" fontId="6" fillId="0" borderId="0" xfId="0" applyFont="1" applyAlignment="1">
      <alignment horizontal="center" vertical="top" wrapText="1"/>
    </xf>
    <xf numFmtId="0" fontId="6" fillId="0" borderId="0" xfId="0" applyFont="1" applyAlignment="1">
      <alignment horizontal="center" vertical="center" wrapText="1"/>
    </xf>
    <xf numFmtId="9" fontId="6" fillId="0" borderId="0" xfId="0" applyNumberFormat="1" applyFont="1" applyAlignment="1">
      <alignment vertical="center"/>
    </xf>
    <xf numFmtId="0" fontId="6" fillId="0" borderId="0" xfId="0" applyFont="1" applyAlignment="1">
      <alignment vertical="center"/>
    </xf>
    <xf numFmtId="3" fontId="6" fillId="0" borderId="0" xfId="0" applyNumberFormat="1" applyFont="1" applyAlignment="1">
      <alignment vertical="center"/>
    </xf>
    <xf numFmtId="3" fontId="20" fillId="0" borderId="0" xfId="0" applyNumberFormat="1" applyFont="1" applyAlignment="1">
      <alignment horizontal="center" vertical="center"/>
    </xf>
    <xf numFmtId="3" fontId="6" fillId="0" borderId="0" xfId="0" applyNumberFormat="1" applyFont="1" applyAlignment="1">
      <alignment horizontal="center" vertical="center" wrapText="1"/>
    </xf>
    <xf numFmtId="3" fontId="7" fillId="0" borderId="0" xfId="0" applyNumberFormat="1" applyFont="1" applyAlignment="1">
      <alignment horizontal="center" vertical="center"/>
    </xf>
    <xf numFmtId="43" fontId="6" fillId="0" borderId="0" xfId="0" applyNumberFormat="1" applyFont="1"/>
    <xf numFmtId="0" fontId="6" fillId="0" borderId="0" xfId="0" applyFont="1" applyAlignment="1">
      <alignment horizontal="left" wrapText="1"/>
    </xf>
    <xf numFmtId="3" fontId="0" fillId="0" borderId="0" xfId="0" applyNumberFormat="1"/>
    <xf numFmtId="173" fontId="9" fillId="0" borderId="0" xfId="0" applyNumberFormat="1" applyFont="1"/>
    <xf numFmtId="0" fontId="9" fillId="0" borderId="0" xfId="0" applyFont="1" applyAlignment="1">
      <alignment horizontal="center"/>
    </xf>
    <xf numFmtId="173" fontId="9" fillId="0" borderId="0" xfId="0" applyNumberFormat="1" applyFont="1" applyAlignment="1">
      <alignment horizontal="center"/>
    </xf>
    <xf numFmtId="173" fontId="10" fillId="0" borderId="0" xfId="0" applyNumberFormat="1" applyFont="1" applyAlignment="1">
      <alignment horizontal="center" vertical="center"/>
    </xf>
    <xf numFmtId="170" fontId="10" fillId="0" borderId="25" xfId="0" applyNumberFormat="1" applyFont="1" applyBorder="1"/>
    <xf numFmtId="170" fontId="10" fillId="0" borderId="13" xfId="0" applyNumberFormat="1" applyFont="1" applyBorder="1"/>
    <xf numFmtId="0" fontId="9" fillId="0" borderId="4" xfId="0" applyFont="1" applyBorder="1"/>
    <xf numFmtId="173" fontId="10" fillId="0" borderId="0" xfId="0" applyNumberFormat="1" applyFont="1"/>
    <xf numFmtId="9" fontId="10" fillId="0" borderId="0" xfId="0" applyNumberFormat="1" applyFont="1"/>
    <xf numFmtId="170" fontId="10" fillId="0" borderId="0" xfId="0" quotePrefix="1" applyNumberFormat="1" applyFont="1"/>
    <xf numFmtId="173" fontId="21" fillId="0" borderId="0" xfId="0" applyNumberFormat="1" applyFont="1"/>
    <xf numFmtId="0" fontId="21" fillId="0" borderId="0" xfId="0" applyFont="1"/>
    <xf numFmtId="170" fontId="22" fillId="0" borderId="0" xfId="0" applyNumberFormat="1" applyFont="1"/>
    <xf numFmtId="0" fontId="22" fillId="0" borderId="0" xfId="0" applyFont="1"/>
    <xf numFmtId="0" fontId="10" fillId="0" borderId="27" xfId="0" applyFont="1" applyBorder="1"/>
    <xf numFmtId="0" fontId="10" fillId="0" borderId="28" xfId="0" applyFont="1" applyBorder="1"/>
    <xf numFmtId="170" fontId="10" fillId="0" borderId="29" xfId="0" applyNumberFormat="1" applyFont="1" applyBorder="1"/>
    <xf numFmtId="170" fontId="10" fillId="0" borderId="30" xfId="0" applyNumberFormat="1" applyFont="1" applyBorder="1"/>
    <xf numFmtId="170" fontId="10" fillId="5" borderId="0" xfId="0" applyNumberFormat="1" applyFont="1" applyFill="1"/>
    <xf numFmtId="0" fontId="10" fillId="5" borderId="20" xfId="0" applyFont="1" applyFill="1" applyBorder="1"/>
    <xf numFmtId="170" fontId="10" fillId="5" borderId="35" xfId="0" applyNumberFormat="1" applyFont="1" applyFill="1" applyBorder="1"/>
    <xf numFmtId="170" fontId="10" fillId="5" borderId="36" xfId="0" applyNumberFormat="1" applyFont="1" applyFill="1" applyBorder="1"/>
    <xf numFmtId="0" fontId="10" fillId="5" borderId="19" xfId="0" applyFont="1" applyFill="1" applyBorder="1"/>
    <xf numFmtId="170" fontId="10" fillId="5" borderId="34" xfId="0" applyNumberFormat="1" applyFont="1" applyFill="1" applyBorder="1"/>
    <xf numFmtId="9" fontId="10" fillId="0" borderId="0" xfId="3" applyFont="1"/>
    <xf numFmtId="44" fontId="10" fillId="0" borderId="0" xfId="0" applyNumberFormat="1" applyFont="1"/>
    <xf numFmtId="0" fontId="5" fillId="3" borderId="6" xfId="4" applyFont="1" applyFill="1" applyBorder="1"/>
    <xf numFmtId="0" fontId="4" fillId="3" borderId="7" xfId="4" applyFont="1" applyFill="1" applyBorder="1" applyAlignment="1">
      <alignment horizontal="center" wrapText="1"/>
    </xf>
    <xf numFmtId="165" fontId="23" fillId="0" borderId="0" xfId="4" applyNumberFormat="1" applyFont="1"/>
    <xf numFmtId="6" fontId="23" fillId="0" borderId="0" xfId="4" applyNumberFormat="1" applyFont="1"/>
    <xf numFmtId="165" fontId="15" fillId="0" borderId="0" xfId="2" applyNumberFormat="1" applyFont="1" applyFill="1" applyBorder="1"/>
    <xf numFmtId="166" fontId="0" fillId="2" borderId="0" xfId="3" applyNumberFormat="1" applyFont="1" applyFill="1"/>
    <xf numFmtId="165" fontId="4" fillId="0" borderId="10" xfId="2" applyNumberFormat="1" applyFont="1" applyFill="1" applyBorder="1"/>
    <xf numFmtId="165" fontId="10" fillId="0" borderId="11" xfId="2" applyNumberFormat="1" applyFont="1" applyFill="1" applyBorder="1"/>
    <xf numFmtId="165" fontId="6" fillId="6" borderId="0" xfId="2" applyNumberFormat="1" applyFont="1" applyFill="1" applyBorder="1" applyAlignment="1">
      <alignment horizontal="center"/>
    </xf>
    <xf numFmtId="165" fontId="17" fillId="6" borderId="0" xfId="2" applyNumberFormat="1" applyFont="1" applyFill="1" applyBorder="1" applyAlignment="1">
      <alignment horizontal="center"/>
    </xf>
    <xf numFmtId="165" fontId="7" fillId="6" borderId="7" xfId="1" applyNumberFormat="1" applyFont="1" applyFill="1" applyBorder="1" applyAlignment="1">
      <alignment horizontal="center"/>
    </xf>
    <xf numFmtId="174" fontId="6" fillId="6" borderId="15" xfId="2" applyNumberFormat="1" applyFont="1" applyFill="1" applyBorder="1" applyAlignment="1">
      <alignment horizontal="center"/>
    </xf>
    <xf numFmtId="174" fontId="6" fillId="6" borderId="13" xfId="2" applyNumberFormat="1" applyFont="1" applyFill="1" applyBorder="1" applyAlignment="1">
      <alignment horizontal="center"/>
    </xf>
    <xf numFmtId="165" fontId="6" fillId="6" borderId="13" xfId="2" applyNumberFormat="1" applyFont="1" applyFill="1" applyBorder="1" applyAlignment="1">
      <alignment horizontal="center"/>
    </xf>
    <xf numFmtId="165" fontId="7" fillId="6" borderId="14" xfId="2" applyNumberFormat="1" applyFont="1" applyFill="1" applyBorder="1" applyAlignment="1">
      <alignment horizontal="center"/>
    </xf>
    <xf numFmtId="165" fontId="6" fillId="6" borderId="4" xfId="2" applyNumberFormat="1" applyFont="1" applyFill="1" applyBorder="1" applyAlignment="1">
      <alignment horizontal="center"/>
    </xf>
    <xf numFmtId="165" fontId="17" fillId="6" borderId="4" xfId="2" applyNumberFormat="1" applyFont="1" applyFill="1" applyBorder="1" applyAlignment="1">
      <alignment horizontal="center"/>
    </xf>
    <xf numFmtId="0" fontId="6" fillId="6" borderId="15" xfId="0" applyFont="1" applyFill="1" applyBorder="1" applyAlignment="1">
      <alignment horizontal="center"/>
    </xf>
    <xf numFmtId="0" fontId="6" fillId="6" borderId="13" xfId="0" applyFont="1" applyFill="1" applyBorder="1" applyAlignment="1">
      <alignment horizontal="center"/>
    </xf>
    <xf numFmtId="44" fontId="6" fillId="6" borderId="13" xfId="0" applyNumberFormat="1" applyFont="1" applyFill="1" applyBorder="1" applyAlignment="1">
      <alignment horizontal="center"/>
    </xf>
    <xf numFmtId="175" fontId="7" fillId="6" borderId="14" xfId="2" applyNumberFormat="1" applyFont="1" applyFill="1" applyBorder="1"/>
    <xf numFmtId="177" fontId="10" fillId="0" borderId="0" xfId="0" applyNumberFormat="1" applyFont="1"/>
    <xf numFmtId="178" fontId="10" fillId="0" borderId="0" xfId="0" applyNumberFormat="1" applyFont="1"/>
    <xf numFmtId="10" fontId="10" fillId="0" borderId="0" xfId="3" applyNumberFormat="1" applyFont="1"/>
    <xf numFmtId="176" fontId="10" fillId="0" borderId="25" xfId="0" applyNumberFormat="1" applyFont="1" applyBorder="1"/>
    <xf numFmtId="176" fontId="10" fillId="0" borderId="13" xfId="0" applyNumberFormat="1" applyFont="1" applyBorder="1"/>
    <xf numFmtId="176" fontId="10" fillId="0" borderId="13" xfId="0" quotePrefix="1" applyNumberFormat="1" applyFont="1" applyBorder="1"/>
    <xf numFmtId="176" fontId="10" fillId="0" borderId="26" xfId="0" applyNumberFormat="1" applyFont="1" applyBorder="1"/>
    <xf numFmtId="176" fontId="10" fillId="0" borderId="14" xfId="0" applyNumberFormat="1" applyFont="1" applyBorder="1"/>
    <xf numFmtId="176" fontId="10" fillId="0" borderId="25" xfId="0" quotePrefix="1" applyNumberFormat="1" applyFont="1" applyBorder="1"/>
    <xf numFmtId="176" fontId="22" fillId="0" borderId="13" xfId="0" applyNumberFormat="1" applyFont="1" applyBorder="1"/>
    <xf numFmtId="176" fontId="10" fillId="0" borderId="29" xfId="0" applyNumberFormat="1" applyFont="1" applyBorder="1"/>
    <xf numFmtId="176" fontId="10" fillId="0" borderId="30" xfId="0" applyNumberFormat="1" applyFont="1" applyBorder="1"/>
    <xf numFmtId="0" fontId="21" fillId="2" borderId="0" xfId="0" applyFont="1" applyFill="1"/>
    <xf numFmtId="170" fontId="10" fillId="0" borderId="4" xfId="0" applyNumberFormat="1" applyFont="1" applyBorder="1"/>
    <xf numFmtId="0" fontId="5" fillId="2" borderId="4" xfId="4" applyFont="1" applyFill="1" applyBorder="1"/>
    <xf numFmtId="0" fontId="24" fillId="2" borderId="0" xfId="0" applyFont="1" applyFill="1"/>
    <xf numFmtId="0" fontId="5" fillId="2" borderId="0" xfId="4" applyFont="1" applyFill="1"/>
    <xf numFmtId="164" fontId="24" fillId="2" borderId="0" xfId="1" applyNumberFormat="1" applyFont="1" applyFill="1"/>
    <xf numFmtId="0" fontId="5" fillId="2" borderId="1" xfId="4" applyFont="1" applyFill="1" applyBorder="1"/>
    <xf numFmtId="0" fontId="5" fillId="2" borderId="2" xfId="4" applyFont="1" applyFill="1" applyBorder="1"/>
    <xf numFmtId="165" fontId="5" fillId="2" borderId="0" xfId="4" applyNumberFormat="1" applyFont="1" applyFill="1"/>
    <xf numFmtId="165" fontId="5" fillId="2" borderId="2" xfId="4" applyNumberFormat="1" applyFont="1" applyFill="1" applyBorder="1"/>
    <xf numFmtId="0" fontId="4" fillId="0" borderId="4" xfId="4" applyFont="1" applyBorder="1"/>
    <xf numFmtId="165" fontId="4" fillId="0" borderId="0" xfId="4" applyNumberFormat="1" applyFont="1"/>
    <xf numFmtId="165" fontId="4" fillId="0" borderId="10" xfId="4" applyNumberFormat="1" applyFont="1" applyBorder="1"/>
    <xf numFmtId="165" fontId="4" fillId="0" borderId="11" xfId="4" applyNumberFormat="1" applyFont="1" applyBorder="1"/>
    <xf numFmtId="0" fontId="25" fillId="0" borderId="0" xfId="4" applyFont="1"/>
    <xf numFmtId="165" fontId="9" fillId="0" borderId="0" xfId="2" applyNumberFormat="1" applyFont="1" applyFill="1" applyBorder="1"/>
    <xf numFmtId="165" fontId="9" fillId="0" borderId="0" xfId="2" applyNumberFormat="1" applyFont="1" applyBorder="1"/>
    <xf numFmtId="0" fontId="4" fillId="3" borderId="9" xfId="4" applyFont="1" applyFill="1" applyBorder="1"/>
    <xf numFmtId="0" fontId="4" fillId="3" borderId="12" xfId="4" applyFont="1" applyFill="1" applyBorder="1" applyAlignment="1">
      <alignment horizontal="center" vertical="center"/>
    </xf>
    <xf numFmtId="0" fontId="4" fillId="3" borderId="10" xfId="4" applyFont="1" applyFill="1" applyBorder="1" applyAlignment="1">
      <alignment horizontal="center" vertical="center"/>
    </xf>
    <xf numFmtId="0" fontId="4" fillId="3" borderId="10" xfId="4" applyFont="1" applyFill="1" applyBorder="1" applyAlignment="1">
      <alignment horizontal="center" vertical="center" wrapText="1"/>
    </xf>
    <xf numFmtId="0" fontId="4" fillId="3" borderId="12" xfId="4" applyFont="1" applyFill="1" applyBorder="1" applyAlignment="1">
      <alignment horizontal="center" vertical="center" wrapText="1"/>
    </xf>
    <xf numFmtId="165" fontId="9" fillId="0" borderId="5" xfId="2" applyNumberFormat="1" applyFont="1" applyBorder="1"/>
    <xf numFmtId="0" fontId="5" fillId="3" borderId="11" xfId="4" applyFont="1" applyFill="1" applyBorder="1" applyAlignment="1">
      <alignment horizontal="centerContinuous"/>
    </xf>
    <xf numFmtId="0" fontId="4" fillId="3" borderId="11" xfId="4" applyFont="1" applyFill="1" applyBorder="1" applyAlignment="1">
      <alignment horizontal="center" vertical="center"/>
    </xf>
    <xf numFmtId="0" fontId="26" fillId="0" borderId="0" xfId="0" applyFont="1"/>
    <xf numFmtId="0" fontId="5" fillId="2" borderId="6" xfId="0" applyFont="1" applyFill="1" applyBorder="1"/>
    <xf numFmtId="0" fontId="5" fillId="2" borderId="7" xfId="0" applyFont="1" applyFill="1" applyBorder="1"/>
    <xf numFmtId="0" fontId="5" fillId="2" borderId="8" xfId="0" applyFont="1" applyFill="1" applyBorder="1"/>
    <xf numFmtId="0" fontId="5" fillId="2" borderId="2" xfId="0" applyFont="1" applyFill="1" applyBorder="1"/>
    <xf numFmtId="0" fontId="5" fillId="2" borderId="0" xfId="0" applyFont="1" applyFill="1"/>
    <xf numFmtId="0" fontId="4" fillId="2" borderId="9" xfId="0" applyFont="1" applyFill="1" applyBorder="1"/>
    <xf numFmtId="0" fontId="4" fillId="2" borderId="10" xfId="0" applyFont="1" applyFill="1" applyBorder="1"/>
    <xf numFmtId="165" fontId="4" fillId="2" borderId="10" xfId="0" applyNumberFormat="1" applyFont="1" applyFill="1" applyBorder="1"/>
    <xf numFmtId="0" fontId="4" fillId="2" borderId="4" xfId="4" applyFont="1" applyFill="1" applyBorder="1"/>
    <xf numFmtId="0" fontId="4" fillId="2" borderId="0" xfId="4" applyFont="1" applyFill="1"/>
    <xf numFmtId="165" fontId="4" fillId="2" borderId="0" xfId="4" applyNumberFormat="1" applyFont="1" applyFill="1"/>
    <xf numFmtId="9" fontId="4" fillId="2" borderId="0" xfId="3" applyFont="1" applyFill="1" applyBorder="1"/>
    <xf numFmtId="9" fontId="5" fillId="0" borderId="0" xfId="3" applyFont="1" applyBorder="1"/>
    <xf numFmtId="0" fontId="5" fillId="3" borderId="3" xfId="4" applyFont="1" applyFill="1" applyBorder="1" applyAlignment="1">
      <alignment horizontal="centerContinuous"/>
    </xf>
    <xf numFmtId="165" fontId="4" fillId="0" borderId="11" xfId="2" applyNumberFormat="1" applyFont="1" applyBorder="1"/>
    <xf numFmtId="0" fontId="4" fillId="3" borderId="9" xfId="4" applyFont="1" applyFill="1" applyBorder="1" applyAlignment="1">
      <alignment horizontal="left" vertical="center"/>
    </xf>
    <xf numFmtId="0" fontId="4" fillId="3" borderId="9" xfId="0" applyFont="1" applyFill="1" applyBorder="1"/>
    <xf numFmtId="0" fontId="5" fillId="3" borderId="10" xfId="0" applyFont="1" applyFill="1" applyBorder="1"/>
    <xf numFmtId="0" fontId="5" fillId="3" borderId="11" xfId="0" applyFont="1" applyFill="1" applyBorder="1"/>
    <xf numFmtId="0" fontId="0" fillId="3" borderId="10" xfId="0" applyFill="1" applyBorder="1"/>
    <xf numFmtId="0" fontId="0" fillId="3" borderId="11" xfId="0" applyFill="1" applyBorder="1"/>
    <xf numFmtId="0" fontId="9" fillId="3" borderId="9" xfId="0" applyFont="1" applyFill="1" applyBorder="1"/>
    <xf numFmtId="0" fontId="9" fillId="3" borderId="7" xfId="0" applyFont="1" applyFill="1" applyBorder="1" applyAlignment="1">
      <alignment horizontal="center"/>
    </xf>
    <xf numFmtId="164" fontId="9" fillId="0" borderId="7" xfId="1" applyNumberFormat="1" applyFont="1" applyFill="1" applyBorder="1"/>
    <xf numFmtId="0" fontId="9" fillId="3" borderId="0" xfId="0" applyFont="1" applyFill="1" applyAlignment="1">
      <alignment horizontal="center"/>
    </xf>
    <xf numFmtId="0" fontId="9" fillId="3" borderId="5" xfId="0" applyFont="1" applyFill="1" applyBorder="1" applyAlignment="1">
      <alignment horizontal="center"/>
    </xf>
    <xf numFmtId="6" fontId="9" fillId="0" borderId="7" xfId="1" applyNumberFormat="1" applyFont="1" applyFill="1" applyBorder="1"/>
    <xf numFmtId="0" fontId="9" fillId="0" borderId="5" xfId="0" applyFont="1" applyBorder="1" applyAlignment="1">
      <alignment horizontal="center"/>
    </xf>
    <xf numFmtId="0" fontId="9" fillId="3" borderId="8" xfId="0" applyFont="1" applyFill="1" applyBorder="1" applyAlignment="1">
      <alignment horizontal="center"/>
    </xf>
    <xf numFmtId="0" fontId="9" fillId="3" borderId="4" xfId="0" applyFont="1" applyFill="1" applyBorder="1" applyAlignment="1">
      <alignment horizontal="center"/>
    </xf>
    <xf numFmtId="0" fontId="9" fillId="0" borderId="4" xfId="0" applyFont="1" applyBorder="1" applyAlignment="1">
      <alignment horizontal="center"/>
    </xf>
    <xf numFmtId="170" fontId="10" fillId="2" borderId="0" xfId="2" applyNumberFormat="1" applyFont="1" applyFill="1" applyBorder="1" applyAlignment="1">
      <alignment horizontal="center" vertical="center"/>
    </xf>
    <xf numFmtId="165" fontId="5" fillId="2" borderId="3" xfId="4" applyNumberFormat="1" applyFont="1" applyFill="1" applyBorder="1"/>
    <xf numFmtId="165" fontId="5" fillId="2" borderId="5" xfId="4" applyNumberFormat="1" applyFont="1" applyFill="1" applyBorder="1"/>
    <xf numFmtId="165" fontId="4" fillId="2" borderId="5" xfId="4" applyNumberFormat="1" applyFont="1" applyFill="1" applyBorder="1"/>
    <xf numFmtId="165" fontId="5" fillId="2" borderId="2" xfId="0" applyNumberFormat="1" applyFont="1" applyFill="1" applyBorder="1"/>
    <xf numFmtId="165" fontId="5" fillId="2" borderId="0" xfId="0" applyNumberFormat="1" applyFont="1" applyFill="1"/>
    <xf numFmtId="165" fontId="4" fillId="2" borderId="0" xfId="0" applyNumberFormat="1" applyFont="1" applyFill="1"/>
    <xf numFmtId="165" fontId="5" fillId="2" borderId="7" xfId="0" applyNumberFormat="1" applyFont="1" applyFill="1" applyBorder="1"/>
    <xf numFmtId="165" fontId="5" fillId="2" borderId="8" xfId="0" applyNumberFormat="1" applyFont="1" applyFill="1" applyBorder="1"/>
    <xf numFmtId="165" fontId="4" fillId="2" borderId="11" xfId="0" applyNumberFormat="1" applyFont="1" applyFill="1" applyBorder="1"/>
    <xf numFmtId="164" fontId="27" fillId="2" borderId="0" xfId="1" applyNumberFormat="1" applyFont="1" applyFill="1" applyBorder="1"/>
    <xf numFmtId="0" fontId="26" fillId="2" borderId="0" xfId="0" applyFont="1" applyFill="1"/>
    <xf numFmtId="0" fontId="27" fillId="2" borderId="0" xfId="0" applyFont="1" applyFill="1"/>
    <xf numFmtId="0" fontId="6" fillId="2" borderId="0" xfId="0" applyFont="1" applyFill="1"/>
    <xf numFmtId="165" fontId="9" fillId="0" borderId="0" xfId="0" applyNumberFormat="1" applyFont="1" applyAlignment="1">
      <alignment horizontal="center"/>
    </xf>
    <xf numFmtId="165" fontId="10" fillId="2" borderId="0" xfId="1" applyNumberFormat="1" applyFont="1" applyFill="1" applyBorder="1"/>
    <xf numFmtId="165" fontId="9" fillId="0" borderId="7" xfId="1" applyNumberFormat="1" applyFont="1" applyFill="1" applyBorder="1"/>
    <xf numFmtId="0" fontId="9" fillId="0" borderId="4" xfId="0" applyFont="1" applyBorder="1" applyAlignment="1">
      <alignment horizontal="left"/>
    </xf>
    <xf numFmtId="165" fontId="9" fillId="0" borderId="5" xfId="0" applyNumberFormat="1" applyFont="1" applyBorder="1" applyAlignment="1">
      <alignment horizontal="center"/>
    </xf>
    <xf numFmtId="170" fontId="10" fillId="2" borderId="4" xfId="2" applyNumberFormat="1" applyFont="1" applyFill="1" applyBorder="1"/>
    <xf numFmtId="165" fontId="10" fillId="2" borderId="5" xfId="1" applyNumberFormat="1" applyFont="1" applyFill="1" applyBorder="1"/>
    <xf numFmtId="170" fontId="9" fillId="2" borderId="4" xfId="2" applyNumberFormat="1" applyFont="1" applyFill="1" applyBorder="1"/>
    <xf numFmtId="165" fontId="9" fillId="0" borderId="8" xfId="1" applyNumberFormat="1" applyFont="1" applyFill="1" applyBorder="1"/>
    <xf numFmtId="6" fontId="9" fillId="0" borderId="6" xfId="1" applyNumberFormat="1" applyFont="1" applyFill="1" applyBorder="1"/>
    <xf numFmtId="6" fontId="9" fillId="0" borderId="8" xfId="1" applyNumberFormat="1" applyFont="1" applyFill="1" applyBorder="1"/>
    <xf numFmtId="0" fontId="26" fillId="0" borderId="0" xfId="0" applyFont="1" applyAlignment="1">
      <alignment horizontal="left"/>
    </xf>
    <xf numFmtId="171" fontId="10" fillId="2" borderId="0" xfId="1" applyNumberFormat="1" applyFont="1" applyFill="1" applyBorder="1"/>
    <xf numFmtId="0" fontId="9" fillId="3" borderId="9" xfId="0" applyFont="1" applyFill="1" applyBorder="1" applyAlignment="1">
      <alignment horizontal="center"/>
    </xf>
    <xf numFmtId="0" fontId="9" fillId="3" borderId="10" xfId="0" applyFont="1" applyFill="1" applyBorder="1" applyAlignment="1">
      <alignment horizontal="center"/>
    </xf>
    <xf numFmtId="0" fontId="9" fillId="3" borderId="11" xfId="0" applyFont="1" applyFill="1" applyBorder="1" applyAlignment="1">
      <alignment horizontal="center"/>
    </xf>
    <xf numFmtId="165" fontId="9" fillId="0" borderId="4" xfId="0" applyNumberFormat="1" applyFont="1" applyBorder="1" applyAlignment="1">
      <alignment horizontal="center"/>
    </xf>
    <xf numFmtId="165" fontId="10" fillId="2" borderId="4" xfId="1" applyNumberFormat="1" applyFont="1" applyFill="1" applyBorder="1"/>
    <xf numFmtId="165" fontId="9" fillId="0" borderId="6" xfId="1" applyNumberFormat="1" applyFont="1" applyFill="1" applyBorder="1"/>
    <xf numFmtId="164" fontId="9" fillId="0" borderId="6" xfId="1" applyNumberFormat="1" applyFont="1" applyFill="1" applyBorder="1" applyAlignment="1">
      <alignment horizontal="left"/>
    </xf>
    <xf numFmtId="165" fontId="4" fillId="0" borderId="0" xfId="2" applyNumberFormat="1" applyFont="1" applyFill="1" applyBorder="1"/>
    <xf numFmtId="165" fontId="4" fillId="2" borderId="0" xfId="2" applyNumberFormat="1" applyFont="1" applyFill="1" applyBorder="1"/>
    <xf numFmtId="0" fontId="5" fillId="2" borderId="7" xfId="4" applyFont="1" applyFill="1" applyBorder="1"/>
    <xf numFmtId="165" fontId="4" fillId="2" borderId="10" xfId="4" applyNumberFormat="1" applyFont="1" applyFill="1" applyBorder="1"/>
    <xf numFmtId="165" fontId="4" fillId="2" borderId="10" xfId="2" applyNumberFormat="1" applyFont="1" applyFill="1" applyBorder="1"/>
    <xf numFmtId="0" fontId="9" fillId="3" borderId="9"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9" fillId="3" borderId="11" xfId="0" applyFont="1" applyFill="1" applyBorder="1" applyAlignment="1">
      <alignment horizontal="center" vertical="center" wrapText="1"/>
    </xf>
    <xf numFmtId="0" fontId="5" fillId="0" borderId="0" xfId="4" applyFont="1" applyAlignment="1">
      <alignment horizontal="centerContinuous"/>
    </xf>
    <xf numFmtId="0" fontId="4" fillId="0" borderId="0" xfId="4" applyFont="1"/>
    <xf numFmtId="0" fontId="9" fillId="0" borderId="0" xfId="0" applyFont="1" applyAlignment="1">
      <alignment horizontal="centerContinuous"/>
    </xf>
    <xf numFmtId="0" fontId="9" fillId="0" borderId="0" xfId="0" applyFont="1" applyAlignment="1">
      <alignment horizontal="center" vertical="center"/>
    </xf>
    <xf numFmtId="165" fontId="12" fillId="0" borderId="0" xfId="2" applyNumberFormat="1" applyFont="1" applyFill="1" applyBorder="1"/>
    <xf numFmtId="0" fontId="4" fillId="3" borderId="9" xfId="4" applyFont="1" applyFill="1" applyBorder="1" applyAlignment="1">
      <alignment horizontal="center" vertical="center"/>
    </xf>
    <xf numFmtId="0" fontId="5" fillId="0" borderId="4" xfId="4" applyFont="1" applyBorder="1" applyAlignment="1">
      <alignment horizontal="center"/>
    </xf>
    <xf numFmtId="0" fontId="29" fillId="2" borderId="0" xfId="0" applyFont="1" applyFill="1"/>
    <xf numFmtId="0" fontId="10" fillId="2" borderId="0" xfId="0" applyFont="1" applyFill="1"/>
    <xf numFmtId="164" fontId="10" fillId="2" borderId="0" xfId="1" applyNumberFormat="1" applyFont="1" applyFill="1" applyBorder="1"/>
    <xf numFmtId="164" fontId="10" fillId="2" borderId="0" xfId="1" applyNumberFormat="1" applyFont="1" applyFill="1"/>
    <xf numFmtId="0" fontId="9" fillId="2" borderId="1" xfId="0" applyFont="1" applyFill="1" applyBorder="1" applyAlignment="1">
      <alignment horizontal="left"/>
    </xf>
    <xf numFmtId="165" fontId="9" fillId="6" borderId="12" xfId="1" applyNumberFormat="1" applyFont="1" applyFill="1" applyBorder="1" applyAlignment="1">
      <alignment horizontal="center"/>
    </xf>
    <xf numFmtId="165" fontId="9" fillId="2" borderId="12" xfId="1" applyNumberFormat="1" applyFont="1" applyFill="1" applyBorder="1" applyAlignment="1">
      <alignment horizontal="center"/>
    </xf>
    <xf numFmtId="165" fontId="9" fillId="2" borderId="10" xfId="1" applyNumberFormat="1" applyFont="1" applyFill="1" applyBorder="1" applyAlignment="1">
      <alignment horizontal="center"/>
    </xf>
    <xf numFmtId="0" fontId="9" fillId="2" borderId="6" xfId="0" applyFont="1" applyFill="1" applyBorder="1" applyAlignment="1">
      <alignment horizontal="left"/>
    </xf>
    <xf numFmtId="165" fontId="10" fillId="6" borderId="14" xfId="1" applyNumberFormat="1" applyFont="1" applyFill="1" applyBorder="1" applyAlignment="1">
      <alignment horizontal="left" vertical="top" wrapText="1"/>
    </xf>
    <xf numFmtId="165" fontId="10" fillId="2" borderId="14" xfId="1" applyNumberFormat="1" applyFont="1" applyFill="1" applyBorder="1" applyAlignment="1">
      <alignment horizontal="left" vertical="top" wrapText="1"/>
    </xf>
    <xf numFmtId="165" fontId="10" fillId="2" borderId="7" xfId="1" applyNumberFormat="1" applyFont="1" applyFill="1" applyBorder="1" applyAlignment="1">
      <alignment horizontal="left" vertical="top" wrapText="1"/>
    </xf>
    <xf numFmtId="49" fontId="10" fillId="6" borderId="14" xfId="1" applyNumberFormat="1" applyFont="1" applyFill="1" applyBorder="1" applyAlignment="1">
      <alignment horizontal="left" vertical="top" wrapText="1"/>
    </xf>
    <xf numFmtId="173" fontId="9" fillId="0" borderId="9" xfId="0" applyNumberFormat="1" applyFont="1" applyBorder="1" applyAlignment="1">
      <alignment horizontal="left" vertical="top" wrapText="1"/>
    </xf>
    <xf numFmtId="0" fontId="9" fillId="6" borderId="12" xfId="0" applyFont="1" applyFill="1" applyBorder="1" applyAlignment="1">
      <alignment horizontal="center" vertical="center" wrapText="1"/>
    </xf>
    <xf numFmtId="0" fontId="9" fillId="0" borderId="12" xfId="0" applyFont="1" applyBorder="1" applyAlignment="1">
      <alignment horizontal="center" vertical="center" wrapText="1"/>
    </xf>
    <xf numFmtId="0" fontId="9" fillId="6" borderId="10" xfId="0" applyFont="1" applyFill="1" applyBorder="1" applyAlignment="1">
      <alignment horizontal="center" vertical="center" wrapText="1"/>
    </xf>
    <xf numFmtId="0" fontId="9" fillId="6" borderId="11" xfId="0" applyFont="1" applyFill="1" applyBorder="1" applyAlignment="1">
      <alignment horizontal="center" vertical="center" wrapText="1"/>
    </xf>
    <xf numFmtId="0" fontId="9" fillId="0" borderId="11" xfId="0" applyFont="1" applyBorder="1" applyAlignment="1">
      <alignment horizontal="center" vertical="center" wrapText="1"/>
    </xf>
    <xf numFmtId="165" fontId="10" fillId="6" borderId="0" xfId="2" applyNumberFormat="1" applyFont="1" applyFill="1" applyBorder="1" applyAlignment="1">
      <alignment horizontal="center"/>
    </xf>
    <xf numFmtId="168" fontId="10" fillId="2" borderId="15" xfId="1" applyNumberFormat="1" applyFont="1" applyFill="1" applyBorder="1" applyAlignment="1">
      <alignment horizontal="center"/>
    </xf>
    <xf numFmtId="174" fontId="10" fillId="6" borderId="15" xfId="2" applyNumberFormat="1" applyFont="1" applyFill="1" applyBorder="1" applyAlignment="1">
      <alignment horizontal="center"/>
    </xf>
    <xf numFmtId="168" fontId="10" fillId="2" borderId="5" xfId="1" applyNumberFormat="1" applyFont="1" applyFill="1" applyBorder="1" applyAlignment="1">
      <alignment horizontal="center"/>
    </xf>
    <xf numFmtId="44" fontId="10" fillId="2" borderId="15" xfId="0" applyNumberFormat="1" applyFont="1" applyFill="1" applyBorder="1" applyAlignment="1">
      <alignment horizontal="center"/>
    </xf>
    <xf numFmtId="0" fontId="10" fillId="6" borderId="15" xfId="0" applyFont="1" applyFill="1" applyBorder="1" applyAlignment="1">
      <alignment horizontal="center"/>
    </xf>
    <xf numFmtId="168" fontId="10" fillId="2" borderId="4" xfId="1" applyNumberFormat="1" applyFont="1" applyFill="1" applyBorder="1" applyAlignment="1">
      <alignment horizontal="center"/>
    </xf>
    <xf numFmtId="165" fontId="10" fillId="6" borderId="4" xfId="2" applyNumberFormat="1" applyFont="1" applyFill="1" applyBorder="1" applyAlignment="1">
      <alignment horizontal="center"/>
    </xf>
    <xf numFmtId="168" fontId="10" fillId="2" borderId="13" xfId="1" applyNumberFormat="1" applyFont="1" applyFill="1" applyBorder="1" applyAlignment="1">
      <alignment horizontal="center"/>
    </xf>
    <xf numFmtId="0" fontId="10" fillId="2" borderId="13" xfId="0" applyFont="1" applyFill="1" applyBorder="1" applyAlignment="1">
      <alignment horizontal="center"/>
    </xf>
    <xf numFmtId="0" fontId="10" fillId="6" borderId="13" xfId="0" applyFont="1" applyFill="1" applyBorder="1" applyAlignment="1">
      <alignment horizontal="center"/>
    </xf>
    <xf numFmtId="165" fontId="12" fillId="6" borderId="0" xfId="2" applyNumberFormat="1" applyFont="1" applyFill="1" applyBorder="1" applyAlignment="1">
      <alignment horizontal="center"/>
    </xf>
    <xf numFmtId="168" fontId="12" fillId="2" borderId="13" xfId="1" applyNumberFormat="1" applyFont="1" applyFill="1" applyBorder="1" applyAlignment="1">
      <alignment horizontal="center"/>
    </xf>
    <xf numFmtId="174" fontId="10" fillId="6" borderId="13" xfId="2" applyNumberFormat="1" applyFont="1" applyFill="1" applyBorder="1" applyAlignment="1">
      <alignment horizontal="center"/>
    </xf>
    <xf numFmtId="168" fontId="12" fillId="2" borderId="0" xfId="1" applyNumberFormat="1" applyFont="1" applyFill="1" applyBorder="1" applyAlignment="1">
      <alignment horizontal="center"/>
    </xf>
    <xf numFmtId="165" fontId="12" fillId="6" borderId="4" xfId="2" applyNumberFormat="1" applyFont="1" applyFill="1" applyBorder="1" applyAlignment="1">
      <alignment horizontal="center"/>
    </xf>
    <xf numFmtId="164" fontId="10" fillId="2" borderId="13" xfId="1" applyNumberFormat="1" applyFont="1" applyFill="1" applyBorder="1" applyAlignment="1">
      <alignment horizontal="center"/>
    </xf>
    <xf numFmtId="165" fontId="10" fillId="6" borderId="13" xfId="2" applyNumberFormat="1" applyFont="1" applyFill="1" applyBorder="1" applyAlignment="1">
      <alignment horizontal="center"/>
    </xf>
    <xf numFmtId="164" fontId="10" fillId="2" borderId="5" xfId="1" applyNumberFormat="1" applyFont="1" applyFill="1" applyBorder="1" applyAlignment="1">
      <alignment horizontal="center"/>
    </xf>
    <xf numFmtId="0" fontId="9" fillId="2" borderId="14" xfId="0" applyFont="1" applyFill="1" applyBorder="1" applyAlignment="1">
      <alignment horizontal="left"/>
    </xf>
    <xf numFmtId="165" fontId="9" fillId="6" borderId="7" xfId="1" applyNumberFormat="1" applyFont="1" applyFill="1" applyBorder="1" applyAlignment="1">
      <alignment horizontal="center"/>
    </xf>
    <xf numFmtId="168" fontId="10" fillId="2" borderId="14" xfId="1" applyNumberFormat="1" applyFont="1" applyFill="1" applyBorder="1" applyAlignment="1">
      <alignment horizontal="center"/>
    </xf>
    <xf numFmtId="165" fontId="9" fillId="6" borderId="14" xfId="2" applyNumberFormat="1" applyFont="1" applyFill="1" applyBorder="1" applyAlignment="1">
      <alignment horizontal="center"/>
    </xf>
    <xf numFmtId="174" fontId="9" fillId="2" borderId="14" xfId="2" applyNumberFormat="1" applyFont="1" applyFill="1" applyBorder="1"/>
    <xf numFmtId="175" fontId="9" fillId="6" borderId="14" xfId="2" applyNumberFormat="1" applyFont="1" applyFill="1" applyBorder="1"/>
    <xf numFmtId="0" fontId="9" fillId="7" borderId="12" xfId="0" applyFont="1" applyFill="1" applyBorder="1"/>
    <xf numFmtId="0" fontId="9" fillId="3" borderId="12" xfId="0" applyFont="1" applyFill="1" applyBorder="1" applyAlignment="1">
      <alignment horizontal="center" vertical="center"/>
    </xf>
    <xf numFmtId="0" fontId="9" fillId="3" borderId="12" xfId="0" applyFont="1" applyFill="1" applyBorder="1" applyAlignment="1">
      <alignment horizontal="center" vertical="center" wrapText="1"/>
    </xf>
    <xf numFmtId="167" fontId="9" fillId="3" borderId="6" xfId="10" applyNumberFormat="1" applyFont="1" applyFill="1" applyBorder="1" applyAlignment="1">
      <alignment horizontal="center" vertical="center" wrapText="1"/>
    </xf>
    <xf numFmtId="0" fontId="5" fillId="0" borderId="15" xfId="0" applyFont="1" applyBorder="1" applyAlignment="1">
      <alignment horizontal="center" vertical="center"/>
    </xf>
    <xf numFmtId="3" fontId="5" fillId="0" borderId="1" xfId="10" applyNumberFormat="1" applyFont="1" applyFill="1" applyBorder="1" applyAlignment="1">
      <alignment horizontal="center" vertical="center" wrapText="1"/>
    </xf>
    <xf numFmtId="3" fontId="5" fillId="0" borderId="2" xfId="10" applyNumberFormat="1" applyFont="1" applyFill="1" applyBorder="1" applyAlignment="1">
      <alignment horizontal="center" vertical="center"/>
    </xf>
    <xf numFmtId="3" fontId="5" fillId="0" borderId="2" xfId="0" applyNumberFormat="1" applyFont="1" applyBorder="1" applyAlignment="1">
      <alignment horizontal="center" vertical="center" wrapText="1"/>
    </xf>
    <xf numFmtId="0" fontId="5" fillId="0" borderId="3" xfId="0" applyFont="1" applyBorder="1" applyAlignment="1">
      <alignment horizontal="center" vertical="center"/>
    </xf>
    <xf numFmtId="3" fontId="5" fillId="0" borderId="3" xfId="0" applyNumberFormat="1" applyFont="1" applyBorder="1" applyAlignment="1">
      <alignment horizontal="center" vertical="center"/>
    </xf>
    <xf numFmtId="0" fontId="10" fillId="0" borderId="16" xfId="0" applyFont="1" applyBorder="1"/>
    <xf numFmtId="0" fontId="10" fillId="0" borderId="18" xfId="0" applyFont="1" applyBorder="1" applyAlignment="1">
      <alignment horizontal="center" vertical="center" wrapText="1"/>
    </xf>
    <xf numFmtId="0" fontId="10" fillId="0" borderId="25" xfId="0" applyFont="1" applyBorder="1" applyAlignment="1">
      <alignment horizontal="center" vertical="center" wrapText="1"/>
    </xf>
    <xf numFmtId="0" fontId="5" fillId="0" borderId="13" xfId="0" applyFont="1" applyBorder="1" applyAlignment="1">
      <alignment horizontal="center" vertical="center"/>
    </xf>
    <xf numFmtId="3" fontId="5" fillId="0" borderId="4" xfId="10" applyNumberFormat="1" applyFont="1" applyFill="1" applyBorder="1" applyAlignment="1">
      <alignment horizontal="center" vertical="center" wrapText="1"/>
    </xf>
    <xf numFmtId="3" fontId="5" fillId="0" borderId="0" xfId="10" applyNumberFormat="1" applyFont="1" applyFill="1" applyBorder="1" applyAlignment="1">
      <alignment horizontal="center" vertical="center"/>
    </xf>
    <xf numFmtId="3" fontId="5" fillId="0" borderId="0" xfId="0" applyNumberFormat="1" applyFont="1" applyAlignment="1">
      <alignment horizontal="center" vertical="center" wrapText="1"/>
    </xf>
    <xf numFmtId="0" fontId="5" fillId="0" borderId="5" xfId="0" applyFont="1" applyBorder="1" applyAlignment="1">
      <alignment horizontal="center" vertical="center"/>
    </xf>
    <xf numFmtId="3" fontId="5" fillId="0" borderId="5" xfId="0" applyNumberFormat="1" applyFont="1" applyBorder="1" applyAlignment="1">
      <alignment horizontal="center" vertical="center"/>
    </xf>
    <xf numFmtId="1" fontId="5" fillId="0" borderId="13" xfId="0" applyNumberFormat="1" applyFont="1" applyBorder="1" applyAlignment="1">
      <alignment horizontal="center" vertical="center" wrapText="1"/>
    </xf>
    <xf numFmtId="3" fontId="5" fillId="0" borderId="4" xfId="0" applyNumberFormat="1" applyFont="1" applyBorder="1" applyAlignment="1">
      <alignment horizontal="center" vertical="center" wrapText="1"/>
    </xf>
    <xf numFmtId="43" fontId="10" fillId="0" borderId="16" xfId="1" applyFont="1" applyBorder="1"/>
    <xf numFmtId="3" fontId="10" fillId="0" borderId="18" xfId="0" applyNumberFormat="1" applyFont="1" applyBorder="1" applyAlignment="1">
      <alignment horizontal="center" vertical="center" wrapText="1"/>
    </xf>
    <xf numFmtId="43" fontId="10" fillId="0" borderId="0" xfId="1" applyFont="1" applyBorder="1"/>
    <xf numFmtId="0" fontId="10" fillId="0" borderId="18" xfId="0" applyFont="1" applyBorder="1" applyAlignment="1">
      <alignment vertical="center"/>
    </xf>
    <xf numFmtId="0" fontId="10" fillId="0" borderId="25" xfId="0" applyFont="1" applyBorder="1" applyAlignment="1">
      <alignment vertical="center"/>
    </xf>
    <xf numFmtId="3" fontId="9" fillId="0" borderId="18" xfId="0" applyNumberFormat="1" applyFont="1" applyBorder="1" applyAlignment="1">
      <alignment horizontal="center" vertical="center"/>
    </xf>
    <xf numFmtId="0" fontId="32" fillId="0" borderId="18" xfId="0" applyFont="1" applyBorder="1" applyAlignment="1">
      <alignment horizontal="center" vertical="center"/>
    </xf>
    <xf numFmtId="1" fontId="32" fillId="0" borderId="25" xfId="0" applyNumberFormat="1" applyFont="1" applyBorder="1" applyAlignment="1">
      <alignment horizontal="center" vertical="center"/>
    </xf>
    <xf numFmtId="2" fontId="5" fillId="0" borderId="25" xfId="0" applyNumberFormat="1" applyFont="1" applyBorder="1" applyAlignment="1">
      <alignment horizontal="center" vertical="center"/>
    </xf>
    <xf numFmtId="1" fontId="5" fillId="0" borderId="14" xfId="0" applyNumberFormat="1" applyFont="1" applyBorder="1" applyAlignment="1">
      <alignment horizontal="center" vertical="center" wrapText="1"/>
    </xf>
    <xf numFmtId="3" fontId="5" fillId="0" borderId="6" xfId="0" applyNumberFormat="1" applyFont="1" applyBorder="1" applyAlignment="1">
      <alignment horizontal="center" vertical="center" wrapText="1"/>
    </xf>
    <xf numFmtId="3" fontId="5" fillId="0" borderId="7" xfId="0" applyNumberFormat="1" applyFont="1" applyBorder="1" applyAlignment="1">
      <alignment horizontal="center" vertical="center" wrapText="1"/>
    </xf>
    <xf numFmtId="0" fontId="5" fillId="0" borderId="8" xfId="0" applyFont="1" applyBorder="1" applyAlignment="1">
      <alignment horizontal="center" vertical="center"/>
    </xf>
    <xf numFmtId="3" fontId="5" fillId="0" borderId="8" xfId="0" applyNumberFormat="1" applyFont="1" applyBorder="1" applyAlignment="1">
      <alignment horizontal="center" vertical="center"/>
    </xf>
    <xf numFmtId="43" fontId="10" fillId="0" borderId="39" xfId="1" applyFont="1" applyBorder="1"/>
    <xf numFmtId="2" fontId="5" fillId="0" borderId="26" xfId="0" applyNumberFormat="1" applyFont="1" applyBorder="1" applyAlignment="1">
      <alignment horizontal="center" vertical="center"/>
    </xf>
    <xf numFmtId="0" fontId="32" fillId="0" borderId="0" xfId="0" applyFont="1" applyAlignment="1">
      <alignment horizontal="center" vertical="center"/>
    </xf>
    <xf numFmtId="3" fontId="32" fillId="0" borderId="0" xfId="10" applyNumberFormat="1" applyFont="1" applyFill="1" applyBorder="1" applyAlignment="1">
      <alignment horizontal="center" vertical="center" wrapText="1"/>
    </xf>
    <xf numFmtId="3" fontId="33" fillId="0" borderId="0" xfId="0" applyNumberFormat="1" applyFont="1" applyAlignment="1">
      <alignment horizontal="center" vertical="center" wrapText="1"/>
    </xf>
    <xf numFmtId="3" fontId="34" fillId="0" borderId="0" xfId="0" applyNumberFormat="1" applyFont="1" applyAlignment="1">
      <alignment horizontal="center" vertical="center"/>
    </xf>
    <xf numFmtId="0" fontId="9" fillId="3" borderId="9" xfId="0" applyFont="1" applyFill="1" applyBorder="1" applyAlignment="1">
      <alignment horizontal="left"/>
    </xf>
    <xf numFmtId="0" fontId="10" fillId="3" borderId="10" xfId="0" applyFont="1" applyFill="1" applyBorder="1" applyAlignment="1">
      <alignment horizontal="center"/>
    </xf>
    <xf numFmtId="0" fontId="10" fillId="3" borderId="11" xfId="0" applyFont="1" applyFill="1" applyBorder="1"/>
    <xf numFmtId="3" fontId="10" fillId="0" borderId="0" xfId="0" applyNumberFormat="1" applyFont="1"/>
    <xf numFmtId="0" fontId="9" fillId="3" borderId="4" xfId="0" applyFont="1" applyFill="1" applyBorder="1" applyAlignment="1">
      <alignment horizontal="center" vertical="center"/>
    </xf>
    <xf numFmtId="0" fontId="9" fillId="3" borderId="0" xfId="0" applyFont="1" applyFill="1" applyAlignment="1">
      <alignment horizontal="center" vertical="center"/>
    </xf>
    <xf numFmtId="0" fontId="9" fillId="3" borderId="5" xfId="0" applyFont="1" applyFill="1" applyBorder="1" applyAlignment="1">
      <alignment horizontal="center" vertical="center"/>
    </xf>
    <xf numFmtId="10" fontId="9" fillId="0" borderId="0" xfId="0" applyNumberFormat="1" applyFont="1"/>
    <xf numFmtId="3" fontId="9" fillId="3" borderId="1" xfId="0" applyNumberFormat="1" applyFont="1" applyFill="1" applyBorder="1"/>
    <xf numFmtId="0" fontId="10" fillId="3" borderId="3" xfId="0" applyFont="1" applyFill="1" applyBorder="1"/>
    <xf numFmtId="0" fontId="9" fillId="3" borderId="6" xfId="0" applyFont="1" applyFill="1" applyBorder="1" applyAlignment="1">
      <alignment horizontal="center" vertical="center"/>
    </xf>
    <xf numFmtId="0" fontId="9" fillId="3" borderId="7" xfId="0" applyFont="1" applyFill="1" applyBorder="1" applyAlignment="1">
      <alignment horizontal="center" vertical="center"/>
    </xf>
    <xf numFmtId="0" fontId="9" fillId="3" borderId="8" xfId="0" applyFont="1" applyFill="1" applyBorder="1" applyAlignment="1">
      <alignment horizontal="center" vertical="center"/>
    </xf>
    <xf numFmtId="0" fontId="34" fillId="0" borderId="0" xfId="0" applyFont="1" applyAlignment="1">
      <alignment horizontal="center" vertical="center"/>
    </xf>
    <xf numFmtId="0" fontId="10" fillId="0" borderId="4" xfId="0" applyFont="1" applyBorder="1" applyAlignment="1">
      <alignment horizontal="center"/>
    </xf>
    <xf numFmtId="164" fontId="10" fillId="0" borderId="0" xfId="1" applyNumberFormat="1" applyFont="1" applyBorder="1" applyAlignment="1">
      <alignment horizontal="center"/>
    </xf>
    <xf numFmtId="9" fontId="10" fillId="0" borderId="5" xfId="3" applyFont="1" applyBorder="1"/>
    <xf numFmtId="166" fontId="10" fillId="0" borderId="0" xfId="3" applyNumberFormat="1" applyFont="1"/>
    <xf numFmtId="0" fontId="5" fillId="3" borderId="12" xfId="0" applyFont="1" applyFill="1" applyBorder="1" applyAlignment="1">
      <alignment horizontal="center" vertical="center"/>
    </xf>
    <xf numFmtId="0" fontId="10" fillId="3" borderId="12" xfId="0" applyFont="1" applyFill="1" applyBorder="1" applyAlignment="1">
      <alignment horizontal="center"/>
    </xf>
    <xf numFmtId="0" fontId="5" fillId="0" borderId="5" xfId="0" applyFont="1" applyBorder="1"/>
    <xf numFmtId="0" fontId="4" fillId="0" borderId="0" xfId="0" applyFont="1" applyAlignment="1">
      <alignment horizontal="center" vertical="center"/>
    </xf>
    <xf numFmtId="0" fontId="5" fillId="0" borderId="14" xfId="0" applyFont="1" applyBorder="1" applyAlignment="1">
      <alignment horizontal="center" vertical="center"/>
    </xf>
    <xf numFmtId="0" fontId="5" fillId="0" borderId="8" xfId="0" applyFont="1" applyBorder="1"/>
    <xf numFmtId="9" fontId="34" fillId="0" borderId="0" xfId="0" applyNumberFormat="1" applyFont="1" applyAlignment="1">
      <alignment horizontal="center" vertical="center"/>
    </xf>
    <xf numFmtId="0" fontId="10" fillId="0" borderId="6" xfId="0" applyFont="1" applyBorder="1" applyAlignment="1">
      <alignment horizontal="center"/>
    </xf>
    <xf numFmtId="164" fontId="10" fillId="0" borderId="7" xfId="1" applyNumberFormat="1" applyFont="1" applyBorder="1" applyAlignment="1">
      <alignment horizontal="center"/>
    </xf>
    <xf numFmtId="9" fontId="10" fillId="0" borderId="8" xfId="3" applyFont="1" applyBorder="1"/>
    <xf numFmtId="0" fontId="10" fillId="0" borderId="0" xfId="0" applyFont="1" applyAlignment="1">
      <alignment horizontal="center"/>
    </xf>
    <xf numFmtId="0" fontId="9" fillId="3" borderId="9" xfId="0" applyFont="1" applyFill="1" applyBorder="1" applyAlignment="1">
      <alignment horizontal="center" vertical="center"/>
    </xf>
    <xf numFmtId="0" fontId="10" fillId="2" borderId="4" xfId="0" applyFont="1" applyFill="1" applyBorder="1" applyAlignment="1">
      <alignment wrapText="1"/>
    </xf>
    <xf numFmtId="166" fontId="10" fillId="2" borderId="0" xfId="3" applyNumberFormat="1" applyFont="1" applyFill="1" applyBorder="1" applyAlignment="1">
      <alignment horizontal="center"/>
    </xf>
    <xf numFmtId="168" fontId="10" fillId="2" borderId="0" xfId="1" applyNumberFormat="1" applyFont="1" applyFill="1" applyBorder="1" applyAlignment="1">
      <alignment horizontal="center"/>
    </xf>
    <xf numFmtId="0" fontId="10" fillId="2" borderId="4" xfId="0" applyFont="1" applyFill="1" applyBorder="1"/>
    <xf numFmtId="9" fontId="9" fillId="2" borderId="6" xfId="3" applyFont="1" applyFill="1" applyBorder="1" applyAlignment="1">
      <alignment horizontal="left"/>
    </xf>
    <xf numFmtId="0" fontId="9" fillId="2" borderId="6" xfId="0" applyFont="1" applyFill="1" applyBorder="1" applyAlignment="1">
      <alignment horizontal="center"/>
    </xf>
    <xf numFmtId="0" fontId="9" fillId="2" borderId="7" xfId="0" applyFont="1" applyFill="1" applyBorder="1" applyAlignment="1">
      <alignment horizontal="center"/>
    </xf>
    <xf numFmtId="164" fontId="9" fillId="2" borderId="7" xfId="0" applyNumberFormat="1" applyFont="1" applyFill="1" applyBorder="1" applyAlignment="1">
      <alignment horizontal="center"/>
    </xf>
    <xf numFmtId="168" fontId="9" fillId="2" borderId="8" xfId="1" applyNumberFormat="1" applyFont="1" applyFill="1" applyBorder="1" applyAlignment="1">
      <alignment horizontal="center"/>
    </xf>
    <xf numFmtId="0" fontId="35" fillId="2" borderId="0" xfId="0" applyFont="1" applyFill="1"/>
    <xf numFmtId="0" fontId="9" fillId="2" borderId="15" xfId="0" applyFont="1" applyFill="1" applyBorder="1" applyAlignment="1">
      <alignment horizontal="left"/>
    </xf>
    <xf numFmtId="0" fontId="9" fillId="2" borderId="13" xfId="0" applyFont="1" applyFill="1" applyBorder="1" applyAlignment="1">
      <alignment horizontal="left"/>
    </xf>
    <xf numFmtId="0" fontId="9" fillId="3" borderId="10" xfId="0" applyFont="1" applyFill="1" applyBorder="1" applyAlignment="1">
      <alignment horizontal="left"/>
    </xf>
    <xf numFmtId="0" fontId="4" fillId="3" borderId="4" xfId="4" applyFont="1" applyFill="1" applyBorder="1" applyAlignment="1">
      <alignment horizontal="center"/>
    </xf>
    <xf numFmtId="0" fontId="4" fillId="0" borderId="4" xfId="4" applyFont="1" applyBorder="1" applyAlignment="1">
      <alignment horizontal="center"/>
    </xf>
    <xf numFmtId="166" fontId="5" fillId="0" borderId="0" xfId="3" applyNumberFormat="1" applyFont="1"/>
    <xf numFmtId="9" fontId="5" fillId="0" borderId="0" xfId="3" applyFont="1"/>
    <xf numFmtId="0" fontId="0" fillId="0" borderId="7" xfId="0" applyBorder="1"/>
    <xf numFmtId="0" fontId="2" fillId="0" borderId="0" xfId="0" applyFont="1"/>
    <xf numFmtId="0" fontId="2" fillId="3" borderId="10" xfId="0" applyFont="1" applyFill="1" applyBorder="1"/>
    <xf numFmtId="0" fontId="4" fillId="3" borderId="7" xfId="4" applyFont="1" applyFill="1" applyBorder="1" applyAlignment="1">
      <alignment horizontal="center" vertical="center" wrapText="1"/>
    </xf>
    <xf numFmtId="0" fontId="4" fillId="3" borderId="7" xfId="4" applyFont="1" applyFill="1" applyBorder="1" applyAlignment="1">
      <alignment vertical="center"/>
    </xf>
    <xf numFmtId="0" fontId="24" fillId="0" borderId="0" xfId="0" applyFont="1"/>
    <xf numFmtId="0" fontId="36" fillId="0" borderId="0" xfId="0" applyFont="1"/>
    <xf numFmtId="6" fontId="4" fillId="0" borderId="0" xfId="4" applyNumberFormat="1" applyFont="1"/>
    <xf numFmtId="9" fontId="4" fillId="0" borderId="0" xfId="3" applyFont="1"/>
    <xf numFmtId="0" fontId="0" fillId="0" borderId="10" xfId="0" applyBorder="1"/>
    <xf numFmtId="165" fontId="0" fillId="0" borderId="10" xfId="0" applyNumberFormat="1" applyBorder="1"/>
    <xf numFmtId="6" fontId="2" fillId="0" borderId="10" xfId="0" applyNumberFormat="1" applyFont="1" applyBorder="1"/>
    <xf numFmtId="0" fontId="9" fillId="3" borderId="10" xfId="0" applyFont="1" applyFill="1" applyBorder="1"/>
    <xf numFmtId="0" fontId="10" fillId="3" borderId="10" xfId="0" applyFont="1" applyFill="1" applyBorder="1"/>
    <xf numFmtId="170" fontId="10" fillId="0" borderId="0" xfId="2" applyNumberFormat="1" applyFont="1" applyFill="1" applyBorder="1"/>
    <xf numFmtId="164" fontId="10" fillId="0" borderId="0" xfId="0" applyNumberFormat="1" applyFont="1"/>
    <xf numFmtId="9" fontId="10" fillId="0" borderId="4" xfId="3" applyFont="1" applyFill="1" applyBorder="1"/>
    <xf numFmtId="9" fontId="10" fillId="0" borderId="0" xfId="3" applyFont="1" applyFill="1" applyBorder="1"/>
    <xf numFmtId="9" fontId="10" fillId="0" borderId="5" xfId="3" applyFont="1" applyFill="1" applyBorder="1"/>
    <xf numFmtId="171" fontId="10" fillId="0" borderId="5" xfId="1" applyNumberFormat="1" applyFont="1" applyFill="1" applyBorder="1"/>
    <xf numFmtId="164" fontId="9" fillId="0" borderId="0" xfId="1" applyNumberFormat="1" applyFont="1" applyFill="1" applyBorder="1"/>
    <xf numFmtId="164" fontId="10" fillId="0" borderId="0" xfId="1" applyNumberFormat="1" applyFont="1" applyBorder="1"/>
    <xf numFmtId="0" fontId="9" fillId="0" borderId="1" xfId="0" applyFont="1" applyBorder="1"/>
    <xf numFmtId="0" fontId="9" fillId="0" borderId="2" xfId="0" applyFont="1" applyBorder="1"/>
    <xf numFmtId="0" fontId="9" fillId="0" borderId="3" xfId="0" applyFont="1" applyBorder="1" applyAlignment="1">
      <alignment horizontal="center"/>
    </xf>
    <xf numFmtId="165" fontId="12" fillId="0" borderId="5" xfId="2" applyNumberFormat="1" applyFont="1" applyBorder="1"/>
    <xf numFmtId="165" fontId="10" fillId="0" borderId="8" xfId="0" applyNumberFormat="1" applyFont="1" applyBorder="1"/>
    <xf numFmtId="0" fontId="9" fillId="3" borderId="11" xfId="0" applyFont="1" applyFill="1" applyBorder="1" applyAlignment="1">
      <alignment horizontal="centerContinuous"/>
    </xf>
    <xf numFmtId="0" fontId="9" fillId="3" borderId="6" xfId="0" applyFont="1" applyFill="1" applyBorder="1" applyAlignment="1">
      <alignment horizontal="center"/>
    </xf>
    <xf numFmtId="0" fontId="9" fillId="3" borderId="10" xfId="0" applyFont="1" applyFill="1" applyBorder="1" applyAlignment="1">
      <alignment horizontal="centerContinuous"/>
    </xf>
    <xf numFmtId="43" fontId="5" fillId="0" borderId="0" xfId="1" applyFont="1" applyFill="1" applyBorder="1"/>
    <xf numFmtId="43" fontId="5" fillId="0" borderId="16" xfId="1" applyFont="1" applyFill="1" applyBorder="1"/>
    <xf numFmtId="43" fontId="5" fillId="0" borderId="37" xfId="1" applyFont="1" applyFill="1" applyBorder="1"/>
    <xf numFmtId="0" fontId="5" fillId="0" borderId="16" xfId="0" applyFont="1" applyBorder="1" applyAlignment="1">
      <alignment horizontal="center" vertical="center"/>
    </xf>
    <xf numFmtId="0" fontId="9" fillId="3" borderId="12" xfId="0" applyFont="1" applyFill="1" applyBorder="1" applyAlignment="1">
      <alignment horizontal="center" vertical="top" wrapText="1"/>
    </xf>
    <xf numFmtId="0" fontId="10" fillId="3" borderId="12" xfId="0" applyFont="1" applyFill="1" applyBorder="1" applyAlignment="1">
      <alignment horizontal="left" vertical="top" wrapText="1"/>
    </xf>
    <xf numFmtId="3" fontId="5" fillId="0" borderId="1" xfId="0" applyNumberFormat="1" applyFont="1" applyBorder="1" applyAlignment="1">
      <alignment horizontal="center" vertical="center"/>
    </xf>
    <xf numFmtId="3" fontId="5" fillId="0" borderId="4" xfId="0" applyNumberFormat="1" applyFont="1" applyBorder="1" applyAlignment="1">
      <alignment horizontal="center" vertical="center"/>
    </xf>
    <xf numFmtId="3" fontId="5" fillId="0" borderId="15" xfId="0" applyNumberFormat="1" applyFont="1" applyBorder="1" applyAlignment="1">
      <alignment horizontal="center" vertical="center"/>
    </xf>
    <xf numFmtId="3" fontId="5" fillId="0" borderId="13" xfId="0" applyNumberFormat="1" applyFont="1" applyBorder="1" applyAlignment="1">
      <alignment horizontal="center" vertical="center"/>
    </xf>
    <xf numFmtId="0" fontId="5" fillId="0" borderId="39" xfId="0" applyFont="1" applyBorder="1" applyAlignment="1">
      <alignment horizontal="center" vertical="center"/>
    </xf>
    <xf numFmtId="3" fontId="5" fillId="0" borderId="6" xfId="10" applyNumberFormat="1" applyFont="1" applyFill="1" applyBorder="1" applyAlignment="1">
      <alignment horizontal="center" vertical="center" wrapText="1"/>
    </xf>
    <xf numFmtId="3" fontId="5" fillId="0" borderId="6" xfId="0" applyNumberFormat="1" applyFont="1" applyBorder="1" applyAlignment="1">
      <alignment horizontal="center" vertical="center"/>
    </xf>
    <xf numFmtId="3" fontId="5" fillId="0" borderId="14" xfId="0" applyNumberFormat="1" applyFont="1" applyBorder="1" applyAlignment="1">
      <alignment horizontal="center" vertical="center"/>
    </xf>
    <xf numFmtId="9" fontId="10" fillId="2" borderId="0" xfId="3" applyFont="1" applyFill="1" applyBorder="1" applyAlignment="1">
      <alignment horizontal="center"/>
    </xf>
    <xf numFmtId="164" fontId="10" fillId="2" borderId="4" xfId="1" applyNumberFormat="1" applyFont="1" applyFill="1" applyBorder="1" applyAlignment="1">
      <alignment horizontal="center"/>
    </xf>
    <xf numFmtId="9" fontId="10" fillId="2" borderId="0" xfId="0" applyNumberFormat="1" applyFont="1" applyFill="1" applyAlignment="1">
      <alignment horizontal="center"/>
    </xf>
    <xf numFmtId="0" fontId="10" fillId="2" borderId="4" xfId="0" applyFont="1" applyFill="1" applyBorder="1" applyAlignment="1">
      <alignment horizontal="left" indent="1"/>
    </xf>
    <xf numFmtId="168" fontId="12" fillId="2" borderId="4" xfId="1" applyNumberFormat="1" applyFont="1" applyFill="1" applyBorder="1" applyAlignment="1">
      <alignment horizontal="center"/>
    </xf>
    <xf numFmtId="168" fontId="12" fillId="2" borderId="5" xfId="1" applyNumberFormat="1" applyFont="1" applyFill="1" applyBorder="1" applyAlignment="1">
      <alignment horizontal="center"/>
    </xf>
    <xf numFmtId="164" fontId="10" fillId="2" borderId="0" xfId="1" applyNumberFormat="1" applyFont="1" applyFill="1" applyBorder="1" applyAlignment="1">
      <alignment horizontal="center"/>
    </xf>
    <xf numFmtId="0" fontId="10" fillId="2" borderId="6" xfId="0" applyFont="1" applyFill="1" applyBorder="1" applyAlignment="1">
      <alignment horizontal="center"/>
    </xf>
    <xf numFmtId="0" fontId="10" fillId="2" borderId="7" xfId="0" applyFont="1" applyFill="1" applyBorder="1" applyAlignment="1">
      <alignment horizontal="center"/>
    </xf>
    <xf numFmtId="164" fontId="10" fillId="2" borderId="7" xfId="0" applyNumberFormat="1" applyFont="1" applyFill="1" applyBorder="1" applyAlignment="1">
      <alignment horizontal="center"/>
    </xf>
    <xf numFmtId="176" fontId="9" fillId="0" borderId="25" xfId="0" applyNumberFormat="1" applyFont="1" applyBorder="1"/>
    <xf numFmtId="176" fontId="37" fillId="0" borderId="25" xfId="0" applyNumberFormat="1" applyFont="1" applyBorder="1"/>
    <xf numFmtId="173" fontId="9" fillId="3" borderId="23" xfId="0" applyNumberFormat="1" applyFont="1" applyFill="1" applyBorder="1" applyAlignment="1">
      <alignment horizontal="center" vertical="center" wrapText="1"/>
    </xf>
    <xf numFmtId="173" fontId="9" fillId="3" borderId="24" xfId="0" applyNumberFormat="1" applyFont="1" applyFill="1" applyBorder="1" applyAlignment="1">
      <alignment horizontal="center" vertical="center"/>
    </xf>
    <xf numFmtId="173" fontId="9" fillId="3" borderId="24" xfId="0" applyNumberFormat="1" applyFont="1" applyFill="1" applyBorder="1" applyAlignment="1">
      <alignment horizontal="center" vertical="center" wrapText="1"/>
    </xf>
    <xf numFmtId="176" fontId="10" fillId="0" borderId="4" xfId="0" applyNumberFormat="1" applyFont="1" applyBorder="1"/>
    <xf numFmtId="176" fontId="10" fillId="0" borderId="4" xfId="0" quotePrefix="1" applyNumberFormat="1" applyFont="1" applyBorder="1"/>
    <xf numFmtId="176" fontId="10" fillId="0" borderId="6" xfId="0" applyNumberFormat="1" applyFont="1" applyBorder="1"/>
    <xf numFmtId="176" fontId="22" fillId="0" borderId="4" xfId="0" applyNumberFormat="1" applyFont="1" applyBorder="1"/>
    <xf numFmtId="176" fontId="10" fillId="0" borderId="27" xfId="0" applyNumberFormat="1" applyFont="1" applyBorder="1"/>
    <xf numFmtId="170" fontId="10" fillId="0" borderId="27" xfId="0" applyNumberFormat="1" applyFont="1" applyBorder="1"/>
    <xf numFmtId="176" fontId="9" fillId="0" borderId="26" xfId="0" applyNumberFormat="1" applyFont="1" applyBorder="1"/>
    <xf numFmtId="176" fontId="9" fillId="0" borderId="29" xfId="0" applyNumberFormat="1" applyFont="1" applyBorder="1"/>
    <xf numFmtId="170" fontId="9" fillId="0" borderId="29" xfId="0" applyNumberFormat="1" applyFont="1" applyBorder="1"/>
    <xf numFmtId="0" fontId="9" fillId="3" borderId="31" xfId="0" applyFont="1" applyFill="1" applyBorder="1"/>
    <xf numFmtId="0" fontId="10" fillId="3" borderId="17" xfId="0" applyFont="1" applyFill="1" applyBorder="1"/>
    <xf numFmtId="170" fontId="10" fillId="3" borderId="32" xfId="0" applyNumberFormat="1" applyFont="1" applyFill="1" applyBorder="1"/>
    <xf numFmtId="0" fontId="10" fillId="3" borderId="6" xfId="0" applyFont="1" applyFill="1" applyBorder="1"/>
    <xf numFmtId="0" fontId="10" fillId="3" borderId="7" xfId="0" applyFont="1" applyFill="1" applyBorder="1"/>
    <xf numFmtId="170" fontId="10" fillId="3" borderId="26" xfId="0" applyNumberFormat="1" applyFont="1" applyFill="1" applyBorder="1"/>
    <xf numFmtId="176" fontId="10" fillId="3" borderId="33" xfId="0" applyNumberFormat="1" applyFont="1" applyFill="1" applyBorder="1"/>
    <xf numFmtId="176" fontId="10" fillId="3" borderId="32" xfId="0" applyNumberFormat="1" applyFont="1" applyFill="1" applyBorder="1"/>
    <xf numFmtId="170" fontId="10" fillId="3" borderId="14" xfId="0" applyNumberFormat="1" applyFont="1" applyFill="1" applyBorder="1"/>
    <xf numFmtId="170" fontId="9" fillId="0" borderId="25" xfId="0" applyNumberFormat="1" applyFont="1" applyBorder="1"/>
    <xf numFmtId="176" fontId="9" fillId="3" borderId="32" xfId="0" applyNumberFormat="1" applyFont="1" applyFill="1" applyBorder="1"/>
    <xf numFmtId="0" fontId="9" fillId="7" borderId="12" xfId="0" applyFont="1" applyFill="1" applyBorder="1" applyAlignment="1">
      <alignment vertical="center"/>
    </xf>
    <xf numFmtId="0" fontId="10" fillId="2" borderId="12" xfId="0" applyFont="1" applyFill="1" applyBorder="1" applyAlignment="1">
      <alignment wrapText="1"/>
    </xf>
    <xf numFmtId="168" fontId="6" fillId="2" borderId="5" xfId="1" applyNumberFormat="1" applyFont="1" applyFill="1" applyBorder="1" applyAlignment="1">
      <alignment horizontal="center"/>
    </xf>
    <xf numFmtId="168" fontId="6" fillId="2" borderId="0" xfId="1" applyNumberFormat="1" applyFont="1" applyFill="1" applyBorder="1" applyAlignment="1">
      <alignment horizontal="center"/>
    </xf>
    <xf numFmtId="168" fontId="17" fillId="2" borderId="0" xfId="1" applyNumberFormat="1" applyFont="1" applyFill="1" applyBorder="1" applyAlignment="1">
      <alignment horizontal="center"/>
    </xf>
    <xf numFmtId="164" fontId="6" fillId="2" borderId="5" xfId="1" applyNumberFormat="1" applyFont="1" applyFill="1" applyBorder="1" applyAlignment="1">
      <alignment horizontal="center"/>
    </xf>
    <xf numFmtId="168" fontId="6" fillId="2" borderId="14" xfId="1" applyNumberFormat="1" applyFont="1" applyFill="1" applyBorder="1" applyAlignment="1">
      <alignment horizontal="center"/>
    </xf>
    <xf numFmtId="44" fontId="6" fillId="2" borderId="15" xfId="0" applyNumberFormat="1" applyFont="1" applyFill="1" applyBorder="1" applyAlignment="1">
      <alignment horizontal="center"/>
    </xf>
    <xf numFmtId="0" fontId="6" fillId="2" borderId="13" xfId="0" applyFont="1" applyFill="1" applyBorder="1" applyAlignment="1">
      <alignment horizontal="center"/>
    </xf>
    <xf numFmtId="44" fontId="6" fillId="2" borderId="13" xfId="0" applyNumberFormat="1" applyFont="1" applyFill="1" applyBorder="1" applyAlignment="1">
      <alignment horizontal="center"/>
    </xf>
    <xf numFmtId="174" fontId="7" fillId="2" borderId="14" xfId="2" applyNumberFormat="1" applyFont="1" applyFill="1" applyBorder="1"/>
    <xf numFmtId="168" fontId="6" fillId="2" borderId="15" xfId="1" applyNumberFormat="1" applyFont="1" applyFill="1" applyBorder="1" applyAlignment="1">
      <alignment horizontal="center"/>
    </xf>
    <xf numFmtId="168" fontId="6" fillId="2" borderId="13" xfId="1" applyNumberFormat="1" applyFont="1" applyFill="1" applyBorder="1" applyAlignment="1">
      <alignment horizontal="center"/>
    </xf>
    <xf numFmtId="168" fontId="17" fillId="2" borderId="13" xfId="1" applyNumberFormat="1" applyFont="1" applyFill="1" applyBorder="1" applyAlignment="1">
      <alignment horizontal="center"/>
    </xf>
    <xf numFmtId="164" fontId="6" fillId="2" borderId="13" xfId="1" applyNumberFormat="1" applyFont="1" applyFill="1" applyBorder="1" applyAlignment="1">
      <alignment horizontal="center"/>
    </xf>
    <xf numFmtId="0" fontId="7" fillId="2" borderId="15" xfId="0" applyFont="1" applyFill="1" applyBorder="1" applyAlignment="1">
      <alignment horizontal="left"/>
    </xf>
    <xf numFmtId="0" fontId="6" fillId="2" borderId="13" xfId="0" applyFont="1" applyFill="1" applyBorder="1" applyAlignment="1">
      <alignment horizontal="left"/>
    </xf>
    <xf numFmtId="0" fontId="7" fillId="2" borderId="13" xfId="0" applyFont="1" applyFill="1" applyBorder="1" applyAlignment="1">
      <alignment horizontal="left"/>
    </xf>
    <xf numFmtId="0" fontId="7" fillId="2" borderId="14" xfId="0" applyFont="1" applyFill="1" applyBorder="1" applyAlignment="1">
      <alignment horizontal="left"/>
    </xf>
    <xf numFmtId="164" fontId="6" fillId="2" borderId="0" xfId="1" applyNumberFormat="1" applyFont="1" applyFill="1" applyBorder="1"/>
    <xf numFmtId="164" fontId="6" fillId="2" borderId="0" xfId="1" applyNumberFormat="1" applyFont="1" applyFill="1"/>
    <xf numFmtId="164" fontId="9" fillId="0" borderId="10" xfId="1" applyNumberFormat="1" applyFont="1" applyFill="1" applyBorder="1"/>
    <xf numFmtId="0" fontId="4" fillId="3" borderId="7" xfId="0" applyFont="1" applyFill="1" applyBorder="1" applyAlignment="1">
      <alignment horizontal="centerContinuous" vertical="center"/>
    </xf>
    <xf numFmtId="0" fontId="4" fillId="3" borderId="7" xfId="0" applyFont="1" applyFill="1" applyBorder="1" applyAlignment="1">
      <alignment horizontal="centerContinuous"/>
    </xf>
    <xf numFmtId="0" fontId="4" fillId="3" borderId="37" xfId="0" applyFont="1" applyFill="1" applyBorder="1" applyAlignment="1">
      <alignment horizontal="centerContinuous"/>
    </xf>
    <xf numFmtId="0" fontId="4" fillId="3" borderId="39" xfId="0" applyFont="1" applyFill="1" applyBorder="1" applyAlignment="1">
      <alignment horizontal="centerContinuous"/>
    </xf>
    <xf numFmtId="0" fontId="9" fillId="3" borderId="8" xfId="0" applyFont="1" applyFill="1" applyBorder="1" applyAlignment="1">
      <alignment horizontal="centerContinuous"/>
    </xf>
    <xf numFmtId="0" fontId="10" fillId="2" borderId="12" xfId="0" applyFont="1" applyFill="1" applyBorder="1" applyAlignment="1">
      <alignment vertical="center"/>
    </xf>
    <xf numFmtId="0" fontId="27" fillId="2" borderId="0" xfId="0" applyFont="1" applyFill="1" applyAlignment="1">
      <alignment vertical="center"/>
    </xf>
    <xf numFmtId="0" fontId="26" fillId="2" borderId="0" xfId="0" applyFont="1" applyFill="1" applyAlignment="1">
      <alignment vertical="center"/>
    </xf>
    <xf numFmtId="0" fontId="10" fillId="2" borderId="0" xfId="0" applyFont="1" applyFill="1" applyAlignment="1">
      <alignment vertical="center"/>
    </xf>
    <xf numFmtId="6" fontId="23" fillId="2" borderId="0" xfId="4" applyNumberFormat="1" applyFont="1" applyFill="1"/>
    <xf numFmtId="3" fontId="5" fillId="0" borderId="2" xfId="0" applyNumberFormat="1" applyFont="1" applyBorder="1" applyAlignment="1">
      <alignment horizontal="center" vertical="center"/>
    </xf>
    <xf numFmtId="3" fontId="5" fillId="0" borderId="0" xfId="0" applyNumberFormat="1" applyFont="1" applyAlignment="1">
      <alignment horizontal="center" vertical="center"/>
    </xf>
    <xf numFmtId="3" fontId="5" fillId="0" borderId="7" xfId="0" applyNumberFormat="1" applyFont="1" applyBorder="1" applyAlignment="1">
      <alignment horizontal="center" vertical="center"/>
    </xf>
    <xf numFmtId="0" fontId="9" fillId="3" borderId="15" xfId="0" applyFont="1" applyFill="1" applyBorder="1" applyAlignment="1">
      <alignment horizontal="center" vertical="top" wrapText="1"/>
    </xf>
    <xf numFmtId="3" fontId="5" fillId="0" borderId="15" xfId="0" applyNumberFormat="1" applyFont="1" applyBorder="1" applyAlignment="1">
      <alignment horizontal="center" vertical="center" wrapText="1"/>
    </xf>
    <xf numFmtId="3" fontId="5" fillId="0" borderId="13" xfId="0" applyNumberFormat="1" applyFont="1" applyBorder="1" applyAlignment="1">
      <alignment horizontal="center" vertical="center" wrapText="1"/>
    </xf>
    <xf numFmtId="3" fontId="5" fillId="0" borderId="14" xfId="0" applyNumberFormat="1" applyFont="1" applyBorder="1" applyAlignment="1">
      <alignment horizontal="center" vertical="center" wrapText="1"/>
    </xf>
    <xf numFmtId="10" fontId="5" fillId="0" borderId="0" xfId="4" applyNumberFormat="1" applyFont="1"/>
    <xf numFmtId="0" fontId="5" fillId="0" borderId="0" xfId="4" applyFont="1" applyAlignment="1">
      <alignment horizontal="center"/>
    </xf>
    <xf numFmtId="0" fontId="5" fillId="0" borderId="4" xfId="4" applyFont="1" applyBorder="1" applyAlignment="1">
      <alignment horizontal="left"/>
    </xf>
    <xf numFmtId="10" fontId="5" fillId="2" borderId="0" xfId="3" applyNumberFormat="1" applyFont="1" applyFill="1" applyBorder="1"/>
    <xf numFmtId="10" fontId="10" fillId="0" borderId="0" xfId="7" applyNumberFormat="1" applyFont="1" applyBorder="1"/>
    <xf numFmtId="10" fontId="5" fillId="0" borderId="0" xfId="3" applyNumberFormat="1" applyFont="1" applyFill="1" applyBorder="1"/>
    <xf numFmtId="165" fontId="5" fillId="0" borderId="8" xfId="4" applyNumberFormat="1" applyFont="1" applyBorder="1"/>
    <xf numFmtId="10" fontId="4" fillId="0" borderId="7" xfId="4" applyNumberFormat="1" applyFont="1" applyBorder="1"/>
    <xf numFmtId="10" fontId="19" fillId="0" borderId="7" xfId="4" applyNumberFormat="1" applyFont="1" applyBorder="1"/>
    <xf numFmtId="2" fontId="5" fillId="0" borderId="18" xfId="0" applyNumberFormat="1" applyFont="1" applyBorder="1" applyAlignment="1">
      <alignment horizontal="center" vertical="center"/>
    </xf>
    <xf numFmtId="2" fontId="5" fillId="0" borderId="38" xfId="0" applyNumberFormat="1" applyFont="1" applyBorder="1" applyAlignment="1">
      <alignment horizontal="center" vertical="center"/>
    </xf>
    <xf numFmtId="0" fontId="10" fillId="2" borderId="0" xfId="0" applyFont="1" applyFill="1" applyAlignment="1">
      <alignment horizontal="left" vertical="top" wrapText="1"/>
    </xf>
    <xf numFmtId="0" fontId="4" fillId="3" borderId="9" xfId="4" applyFont="1" applyFill="1" applyBorder="1" applyAlignment="1">
      <alignment horizontal="center"/>
    </xf>
    <xf numFmtId="0" fontId="4" fillId="3" borderId="11" xfId="4" applyFont="1" applyFill="1" applyBorder="1" applyAlignment="1">
      <alignment horizontal="center"/>
    </xf>
    <xf numFmtId="0" fontId="5" fillId="0" borderId="0" xfId="4" applyFont="1" applyAlignment="1">
      <alignment horizontal="left" vertical="top" wrapText="1"/>
    </xf>
    <xf numFmtId="0" fontId="4" fillId="3" borderId="10" xfId="0" applyFont="1" applyFill="1" applyBorder="1" applyAlignment="1">
      <alignment horizontal="center" vertical="center"/>
    </xf>
    <xf numFmtId="0" fontId="4" fillId="3" borderId="11" xfId="0" applyFont="1" applyFill="1" applyBorder="1" applyAlignment="1">
      <alignment horizontal="center" vertical="center"/>
    </xf>
    <xf numFmtId="0" fontId="9" fillId="3" borderId="9"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9" fillId="3" borderId="11" xfId="0" applyFont="1" applyFill="1" applyBorder="1" applyAlignment="1">
      <alignment horizontal="center" vertical="center" wrapText="1"/>
    </xf>
    <xf numFmtId="0" fontId="9" fillId="3" borderId="1" xfId="0" applyFont="1" applyFill="1" applyBorder="1" applyAlignment="1">
      <alignment horizontal="left"/>
    </xf>
    <xf numFmtId="0" fontId="9" fillId="3" borderId="2" xfId="0" applyFont="1" applyFill="1" applyBorder="1" applyAlignment="1">
      <alignment horizontal="left"/>
    </xf>
    <xf numFmtId="0" fontId="9" fillId="3" borderId="3" xfId="0" applyFont="1" applyFill="1" applyBorder="1" applyAlignment="1">
      <alignment horizontal="left"/>
    </xf>
    <xf numFmtId="0" fontId="9" fillId="3" borderId="15" xfId="0" applyFont="1" applyFill="1" applyBorder="1" applyAlignment="1">
      <alignment horizontal="center" vertical="center" wrapText="1"/>
    </xf>
    <xf numFmtId="0" fontId="9" fillId="3" borderId="14" xfId="0" applyFont="1" applyFill="1" applyBorder="1" applyAlignment="1">
      <alignment horizontal="center" vertical="center" wrapText="1"/>
    </xf>
    <xf numFmtId="0" fontId="9" fillId="3" borderId="15" xfId="0" applyFont="1" applyFill="1" applyBorder="1" applyAlignment="1">
      <alignment horizontal="center" vertical="center"/>
    </xf>
    <xf numFmtId="0" fontId="9" fillId="3" borderId="14" xfId="0" applyFont="1" applyFill="1" applyBorder="1" applyAlignment="1">
      <alignment horizontal="center" vertical="center"/>
    </xf>
    <xf numFmtId="0" fontId="9" fillId="3" borderId="15" xfId="0" applyFont="1" applyFill="1" applyBorder="1" applyAlignment="1">
      <alignment horizontal="left" vertical="center"/>
    </xf>
    <xf numFmtId="0" fontId="9" fillId="3" borderId="14" xfId="0" applyFont="1" applyFill="1" applyBorder="1" applyAlignment="1">
      <alignment horizontal="left" vertical="center"/>
    </xf>
    <xf numFmtId="0" fontId="9" fillId="3" borderId="1"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10" fillId="0" borderId="0" xfId="0" applyFont="1" applyAlignment="1">
      <alignment horizontal="left" vertical="top" wrapText="1"/>
    </xf>
    <xf numFmtId="0" fontId="9" fillId="3" borderId="9" xfId="0" applyFont="1" applyFill="1" applyBorder="1" applyAlignment="1">
      <alignment horizontal="left"/>
    </xf>
    <xf numFmtId="0" fontId="9" fillId="3" borderId="10" xfId="0" applyFont="1" applyFill="1" applyBorder="1" applyAlignment="1">
      <alignment horizontal="left"/>
    </xf>
    <xf numFmtId="0" fontId="9" fillId="3" borderId="11" xfId="0" applyFont="1" applyFill="1" applyBorder="1" applyAlignment="1">
      <alignment horizontal="left"/>
    </xf>
    <xf numFmtId="0" fontId="4" fillId="3" borderId="1"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9"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26" fillId="0" borderId="0" xfId="0" applyFont="1" applyAlignment="1">
      <alignment horizontal="left"/>
    </xf>
    <xf numFmtId="0" fontId="10" fillId="0" borderId="7" xfId="0" applyFont="1" applyBorder="1" applyAlignment="1">
      <alignment horizontal="left" vertical="top" wrapText="1"/>
    </xf>
    <xf numFmtId="0" fontId="4" fillId="3" borderId="7" xfId="0" applyFont="1" applyFill="1" applyBorder="1" applyAlignment="1">
      <alignment horizontal="center" vertical="center"/>
    </xf>
    <xf numFmtId="0" fontId="4" fillId="3" borderId="8" xfId="0" applyFont="1" applyFill="1" applyBorder="1" applyAlignment="1">
      <alignment horizontal="center" vertical="center"/>
    </xf>
    <xf numFmtId="0" fontId="9" fillId="3" borderId="9" xfId="0" applyFont="1" applyFill="1" applyBorder="1" applyAlignment="1">
      <alignment horizontal="left" vertical="center"/>
    </xf>
    <xf numFmtId="0" fontId="9" fillId="3" borderId="10" xfId="0" applyFont="1" applyFill="1" applyBorder="1" applyAlignment="1">
      <alignment horizontal="left" vertical="center"/>
    </xf>
    <xf numFmtId="0" fontId="9" fillId="3" borderId="11" xfId="0" applyFont="1" applyFill="1" applyBorder="1" applyAlignment="1">
      <alignment horizontal="left" vertical="center"/>
    </xf>
    <xf numFmtId="0" fontId="4" fillId="3" borderId="12" xfId="0" applyFont="1" applyFill="1" applyBorder="1" applyAlignment="1">
      <alignment horizontal="center" vertical="center" wrapText="1"/>
    </xf>
    <xf numFmtId="3" fontId="9" fillId="3" borderId="12" xfId="10" applyNumberFormat="1" applyFont="1" applyFill="1" applyBorder="1" applyAlignment="1">
      <alignment horizontal="center" vertical="center" wrapText="1"/>
    </xf>
    <xf numFmtId="0" fontId="31" fillId="3" borderId="12"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0" xfId="0" applyFont="1" applyFill="1" applyAlignment="1">
      <alignment horizontal="center" vertical="center" wrapText="1"/>
    </xf>
    <xf numFmtId="0" fontId="9" fillId="3" borderId="21" xfId="0" applyFont="1" applyFill="1" applyBorder="1" applyAlignment="1">
      <alignment horizontal="center" vertical="center"/>
    </xf>
    <xf numFmtId="0" fontId="9" fillId="3" borderId="22" xfId="0" applyFont="1" applyFill="1" applyBorder="1" applyAlignment="1">
      <alignment horizontal="center" vertical="center"/>
    </xf>
    <xf numFmtId="0" fontId="9" fillId="3" borderId="1" xfId="0" applyFont="1" applyFill="1" applyBorder="1" applyAlignment="1">
      <alignment vertical="top" wrapText="1"/>
    </xf>
    <xf numFmtId="0" fontId="9" fillId="3" borderId="2" xfId="0" applyFont="1" applyFill="1" applyBorder="1" applyAlignment="1">
      <alignment vertical="top" wrapText="1"/>
    </xf>
    <xf numFmtId="0" fontId="9" fillId="3" borderId="3" xfId="0" applyFont="1" applyFill="1" applyBorder="1" applyAlignment="1">
      <alignment vertical="top" wrapText="1"/>
    </xf>
    <xf numFmtId="0" fontId="9" fillId="3" borderId="6" xfId="0" applyFont="1" applyFill="1" applyBorder="1" applyAlignment="1">
      <alignment vertical="top" wrapText="1"/>
    </xf>
    <xf numFmtId="0" fontId="9" fillId="3" borderId="7" xfId="0" applyFont="1" applyFill="1" applyBorder="1" applyAlignment="1">
      <alignment vertical="top" wrapText="1"/>
    </xf>
    <xf numFmtId="0" fontId="9" fillId="3" borderId="8" xfId="0" applyFont="1" applyFill="1" applyBorder="1" applyAlignment="1">
      <alignment vertical="top" wrapText="1"/>
    </xf>
    <xf numFmtId="0" fontId="9" fillId="3" borderId="1" xfId="0" applyFont="1" applyFill="1" applyBorder="1" applyAlignment="1">
      <alignment horizontal="left" vertical="top"/>
    </xf>
    <xf numFmtId="0" fontId="9" fillId="3" borderId="2" xfId="0" applyFont="1" applyFill="1" applyBorder="1" applyAlignment="1">
      <alignment horizontal="left" vertical="top"/>
    </xf>
    <xf numFmtId="0" fontId="9" fillId="3" borderId="3" xfId="0" applyFont="1" applyFill="1" applyBorder="1" applyAlignment="1">
      <alignment horizontal="left" vertical="top"/>
    </xf>
    <xf numFmtId="0" fontId="9" fillId="3" borderId="6" xfId="0" applyFont="1" applyFill="1" applyBorder="1" applyAlignment="1">
      <alignment horizontal="left" vertical="top"/>
    </xf>
    <xf numFmtId="0" fontId="9" fillId="3" borderId="7" xfId="0" applyFont="1" applyFill="1" applyBorder="1" applyAlignment="1">
      <alignment horizontal="left" vertical="top"/>
    </xf>
    <xf numFmtId="0" fontId="9" fillId="3" borderId="8" xfId="0" applyFont="1" applyFill="1" applyBorder="1" applyAlignment="1">
      <alignment horizontal="left" vertical="top"/>
    </xf>
    <xf numFmtId="0" fontId="38" fillId="2" borderId="0" xfId="0" applyFont="1" applyFill="1"/>
  </cellXfs>
  <cellStyles count="11">
    <cellStyle name="Comma" xfId="1" builtinId="3"/>
    <cellStyle name="Comma 10 2 2 2 4" xfId="6" xr:uid="{FEB93B9A-D070-4E02-8CA1-9A2473A79526}"/>
    <cellStyle name="Comma 2" xfId="10" xr:uid="{5351D7C2-B41F-4BB6-A214-1C2924750544}"/>
    <cellStyle name="Comma 2 3" xfId="9" xr:uid="{85C5CBD8-0B28-4BE1-B8F9-137F9F018BAF}"/>
    <cellStyle name="Currency" xfId="2" builtinId="4"/>
    <cellStyle name="Normal" xfId="0" builtinId="0"/>
    <cellStyle name="Normal 10 2 15" xfId="4" xr:uid="{00000000-0005-0000-0000-000003000000}"/>
    <cellStyle name="Normal 12 2" xfId="8" xr:uid="{16944F9D-DE2F-4B68-AF44-B9AE275250FD}"/>
    <cellStyle name="Percent" xfId="3" builtinId="5"/>
    <cellStyle name="Percent 0" xfId="7" xr:uid="{3FDDDE76-84FC-4EEF-A683-F336DEA0EC3C}"/>
    <cellStyle name="R07L" xfId="5" xr:uid="{46B053F0-4659-4FF5-93A1-0A772003E2B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xml"/><Relationship Id="rId18" Type="http://schemas.openxmlformats.org/officeDocument/2006/relationships/externalLink" Target="externalLinks/externalLink6.xml"/><Relationship Id="rId26" Type="http://schemas.openxmlformats.org/officeDocument/2006/relationships/externalLink" Target="externalLinks/externalLink14.xml"/><Relationship Id="rId39" Type="http://schemas.openxmlformats.org/officeDocument/2006/relationships/styles" Target="styles.xml"/><Relationship Id="rId21" Type="http://schemas.openxmlformats.org/officeDocument/2006/relationships/externalLink" Target="externalLinks/externalLink9.xml"/><Relationship Id="rId34" Type="http://schemas.openxmlformats.org/officeDocument/2006/relationships/externalLink" Target="externalLinks/externalLink22.xml"/><Relationship Id="rId42"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externalLink" Target="externalLinks/externalLink4.xml"/><Relationship Id="rId29" Type="http://schemas.openxmlformats.org/officeDocument/2006/relationships/externalLink" Target="externalLinks/externalLink17.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2.xml"/><Relationship Id="rId32" Type="http://schemas.openxmlformats.org/officeDocument/2006/relationships/externalLink" Target="externalLinks/externalLink20.xml"/><Relationship Id="rId37" Type="http://schemas.openxmlformats.org/officeDocument/2006/relationships/externalLink" Target="externalLinks/externalLink25.xml"/><Relationship Id="rId40" Type="http://schemas.openxmlformats.org/officeDocument/2006/relationships/sharedStrings" Target="sharedStrings.xml"/><Relationship Id="rId45"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externalLink" Target="externalLinks/externalLink3.xml"/><Relationship Id="rId23" Type="http://schemas.openxmlformats.org/officeDocument/2006/relationships/externalLink" Target="externalLinks/externalLink11.xml"/><Relationship Id="rId28" Type="http://schemas.openxmlformats.org/officeDocument/2006/relationships/externalLink" Target="externalLinks/externalLink16.xml"/><Relationship Id="rId36" Type="http://schemas.openxmlformats.org/officeDocument/2006/relationships/externalLink" Target="externalLinks/externalLink24.xml"/><Relationship Id="rId10" Type="http://schemas.openxmlformats.org/officeDocument/2006/relationships/worksheet" Target="worksheets/sheet10.xml"/><Relationship Id="rId19" Type="http://schemas.openxmlformats.org/officeDocument/2006/relationships/externalLink" Target="externalLinks/externalLink7.xml"/><Relationship Id="rId31" Type="http://schemas.openxmlformats.org/officeDocument/2006/relationships/externalLink" Target="externalLinks/externalLink19.xml"/><Relationship Id="rId44"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externalLink" Target="externalLinks/externalLink10.xml"/><Relationship Id="rId27" Type="http://schemas.openxmlformats.org/officeDocument/2006/relationships/externalLink" Target="externalLinks/externalLink15.xml"/><Relationship Id="rId30" Type="http://schemas.openxmlformats.org/officeDocument/2006/relationships/externalLink" Target="externalLinks/externalLink18.xml"/><Relationship Id="rId35" Type="http://schemas.openxmlformats.org/officeDocument/2006/relationships/externalLink" Target="externalLinks/externalLink23.xml"/><Relationship Id="rId43"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externalLink" Target="externalLinks/externalLink5.xml"/><Relationship Id="rId25" Type="http://schemas.openxmlformats.org/officeDocument/2006/relationships/externalLink" Target="externalLinks/externalLink13.xml"/><Relationship Id="rId33" Type="http://schemas.openxmlformats.org/officeDocument/2006/relationships/externalLink" Target="externalLinks/externalLink21.xml"/><Relationship Id="rId38" Type="http://schemas.openxmlformats.org/officeDocument/2006/relationships/theme" Target="theme/theme1.xml"/><Relationship Id="rId20" Type="http://schemas.openxmlformats.org/officeDocument/2006/relationships/externalLink" Target="externalLinks/externalLink8.xml"/><Relationship Id="rId41" Type="http://schemas.microsoft.com/office/2017/10/relationships/person" Target="persons/person.xml"/></Relationships>
</file>

<file path=xl/drawings/drawing1.xml><?xml version="1.0" encoding="utf-8"?>
<xdr:wsDr xmlns:xdr="http://schemas.openxmlformats.org/drawingml/2006/spreadsheetDrawing" xmlns:a="http://schemas.openxmlformats.org/drawingml/2006/main">
  <xdr:twoCellAnchor>
    <xdr:from>
      <xdr:col>10</xdr:col>
      <xdr:colOff>142875</xdr:colOff>
      <xdr:row>2</xdr:row>
      <xdr:rowOff>0</xdr:rowOff>
    </xdr:from>
    <xdr:to>
      <xdr:col>13</xdr:col>
      <xdr:colOff>952500</xdr:colOff>
      <xdr:row>26</xdr:row>
      <xdr:rowOff>19050</xdr:rowOff>
    </xdr:to>
    <xdr:sp macro="" textlink="">
      <xdr:nvSpPr>
        <xdr:cNvPr id="2" name="TextBox 1">
          <a:extLst>
            <a:ext uri="{FF2B5EF4-FFF2-40B4-BE49-F238E27FC236}">
              <a16:creationId xmlns:a16="http://schemas.microsoft.com/office/drawing/2014/main" id="{A325E3F1-37EE-467F-AE0C-444A5EFF407F}"/>
            </a:ext>
          </a:extLst>
        </xdr:cNvPr>
        <xdr:cNvSpPr txBox="1"/>
      </xdr:nvSpPr>
      <xdr:spPr>
        <a:xfrm>
          <a:off x="13192125" y="838200"/>
          <a:ext cx="3629025" cy="49815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a:latin typeface="Arial" panose="020B0604020202020204" pitchFamily="34" charset="0"/>
              <a:cs typeface="Arial" panose="020B0604020202020204" pitchFamily="34" charset="0"/>
            </a:rPr>
            <a:t>As mentioned in consultation sessions, water treatment</a:t>
          </a:r>
          <a:r>
            <a:rPr lang="en-US" sz="900" baseline="0">
              <a:latin typeface="Arial" panose="020B0604020202020204" pitchFamily="34" charset="0"/>
              <a:cs typeface="Arial" panose="020B0604020202020204" pitchFamily="34" charset="0"/>
            </a:rPr>
            <a:t> plants are designed based on volume of water treated. Water consumption trends are monitored using water meter billing data to determine per capita usage. The per capita water consumption rate is updated periodically to reflect changes in consumption trends. </a:t>
          </a:r>
        </a:p>
        <a:p>
          <a:endParaRPr lang="en-US" sz="900" baseline="0">
            <a:latin typeface="Arial" panose="020B0604020202020204" pitchFamily="34" charset="0"/>
            <a:cs typeface="Arial" panose="020B0604020202020204" pitchFamily="34" charset="0"/>
          </a:endParaRPr>
        </a:p>
        <a:p>
          <a:r>
            <a:rPr lang="en-US" sz="900" baseline="0">
              <a:latin typeface="Arial" panose="020B0604020202020204" pitchFamily="34" charset="0"/>
              <a:cs typeface="Arial" panose="020B0604020202020204" pitchFamily="34" charset="0"/>
            </a:rPr>
            <a:t>Treatment capacity in volume is converted to Equivalent Population (EP) for the purposes of OSL rate determination. </a:t>
          </a:r>
        </a:p>
        <a:p>
          <a:endParaRPr lang="en-US" sz="900" baseline="0">
            <a:latin typeface="Arial" panose="020B0604020202020204" pitchFamily="34" charset="0"/>
            <a:cs typeface="Arial" panose="020B0604020202020204" pitchFamily="34" charset="0"/>
          </a:endParaRPr>
        </a:p>
        <a:p>
          <a:r>
            <a:rPr lang="en-US" sz="900" baseline="0">
              <a:latin typeface="Arial" panose="020B0604020202020204" pitchFamily="34" charset="0"/>
              <a:cs typeface="Arial" panose="020B0604020202020204" pitchFamily="34" charset="0"/>
            </a:rPr>
            <a:t>Regional customers have Master Service Contracts (MSAs) with The City of Calgary. Within the MSA, the maximum volumes of water delivered are defined. The regional component is separated from the total plant capacity, the remaining amount is the capacity available for Calgary.</a:t>
          </a:r>
          <a:endParaRPr lang="en-US" sz="900">
            <a:latin typeface="Arial" panose="020B0604020202020204" pitchFamily="34" charset="0"/>
            <a:cs typeface="Arial" panose="020B0604020202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galindo/AppData/Local/Microsoft/Windows/Temporary%20Internet%20Files/Content.Outlook/P0LSXTRE/20150522_LevyPaymentBehaviour_WorkingFile%20(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egalindo/AppData/Local/Microsoft/Windows/Temporary%20Internet%20Files/Content.Outlook/P0LSXTRE/Calgary%20Water_final.xlsx" TargetMode="External"/></Relationships>
</file>

<file path=xl/externalLinks/_rels/externalLink3.xml.rels><?xml version="1.0" encoding="UTF-8" standalone="yes"?>
<Relationships xmlns="http://schemas.openxmlformats.org/package/2006/relationships"><Relationship Id="rId2" Type="http://schemas.microsoft.com/office/2019/04/relationships/externalLinkLongPath" Target="/Business%20Strategy%20&amp;%20Performance/4.0%20Financial%20Policy%20&amp;%20Process/4.0%20Acreage%20Assessments%20%20SDA/Presentations/Aug%2015th/drainage/OLSH%20Wetlands%20Payment%20Schedule%20for%20Shepard%20model%20revised.xlsm?3C0211C3" TargetMode="External"/><Relationship Id="rId1" Type="http://schemas.openxmlformats.org/officeDocument/2006/relationships/externalLinkPath" Target="file:///\\3C0211C3\OLSH%20Wetlands%20Payment%20Schedule%20for%20Shepard%20model%20revised.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BUDGET/Prog840%20Debt%20Charges/2009-11Prog840/Backups/1-2009-11%20Prog%20840%20workshee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egalindo/AppData/Local/Microsoft/Windows/Temporary%20Internet%20Files/Content.Outlook/P0LSXTRE/West%20Macleod%20in%20master%20file%202014%20Mar%204.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egalindo/AppData/Local/Microsoft/Windows/Temporary%20Internet%20Files/Content.Outlook/P0LSXTRE/WWWS%20Offsite%20Levy%20Model%20June%202nd%202015%20(5).xlsb"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Business%20Strategy%20&amp;%20Performance/Rates%20&amp;%20Financial/Acreage%20Assessments%20%20SDA/UDI%20reporting/Back%20Up%20files/Waste%20Water%20Treatment%20Calculator%20-%202013-prior%20modified%20(2000-2010)%20july8.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Users/egalindo/AppData/Local/Microsoft/Windows/Temporary%20Internet%20Files/Content.Outlook/X5PRO9C9/PV%20Claculator%20for%20BB.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Business%20Strategy%20&amp;%20Performance/Rates%20&amp;%20Financial/Acreage%20Assessments%20%20SDA/UDI%20reporting/Back%20Up%20files/Waste%20Water%20Collection%20Calculator%20-%202013-prior%20modified%202000-2010%20June%2024.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Business%20Strategy%20&amp;%20Performance/Rates%20&amp;%20Financial/Acreage%20Assessments%20%20SDA/UDI%20reporting/Back%20Up%20files/Waste%20Water%20Treatment%20Calculator%20-%202013-prior%20modified%20(2011-2013)%20June%2024.xlsx" TargetMode="External"/></Relationships>
</file>

<file path=xl/externalLinks/_rels/externalLink11.xml.rels><?xml version="1.0" encoding="UTF-8" standalone="yes"?>
<Relationships xmlns="http://schemas.openxmlformats.org/package/2006/relationships"><Relationship Id="rId2" Type="http://schemas.microsoft.com/office/2019/04/relationships/externalLinkLongPath" Target="/Business%20Strategy%20&amp;%20Performance/4.0%20Financial%20Policy%20&amp;%20Process/Acreage%20Assessments%20%20SDA/Presentations/May%206%20Presentation/New%20direction/AA%20All%20levy%20April%2010%20V1Status%20quo%20debt%20to%202074%20graphs%20aug26.xlsx?61848CAC" TargetMode="External"/><Relationship Id="rId1" Type="http://schemas.openxmlformats.org/officeDocument/2006/relationships/externalLinkPath" Target="file:///\\61848CAC\AA%20All%20levy%20April%2010%20V1Status%20quo%20debt%20to%202074%20graphs%20aug26.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Business%20Strategy%20&amp;%20Performance/Rates%20&amp;%20Financial/Acreage%20Assessments%20%20SDA/UDI%20reporting/Back%20Up%20files/Water%20Treatment%20Calculator%20-%202013-prior%20modified%20(2000-2010)%20July%208th.xlsx" TargetMode="External"/></Relationships>
</file>

<file path=xl/externalLinks/_rels/externalLink13.xml.rels><?xml version="1.0" encoding="UTF-8" standalone="yes"?>
<Relationships xmlns="http://schemas.openxmlformats.org/package/2006/relationships"><Relationship Id="rId2" Type="http://schemas.microsoft.com/office/2019/04/relationships/externalLinkLongPath" Target="/Business%20Strategy%20&amp;%20Performance/4.0%20Financial%20Policy%20&amp;%20Process/Acreage%20Assessments%20%20SDA/Presentations/May%206%20Presentation/New%20direction/Supporting%20papers/AA%20All%20levy%20April%2010%20V1Status%20quo%20debt%20to%202074%20graphs.xlsx?4C01FED2" TargetMode="External"/><Relationship Id="rId1" Type="http://schemas.openxmlformats.org/officeDocument/2006/relationships/externalLinkPath" Target="file:///\\4C01FED2\AA%20All%20levy%20April%2010%20V1Status%20quo%20debt%20to%202074%20graphs.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Business%20Strategy%20&amp;%20Performance/Rates%20&amp;%20Financial/Acreage%20Assessments%20%20SDA/UDI%20reporting/Back%20Up%20files/Water%20Distribution%20Calculator%20-%202013-prior%20modified%20(2000-2010)%20June%2024th.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Business%20Strategy%20&amp;%20Performance/4.0%20Financial%20Policy%20&amp;%20Process/Acreage%20Assessments%20%20SDA/Presentations/May%206%20Presentation/New%20direction/Elbow%202025.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Business%20Strategy%20&amp;%20Performance/4.0%20Financial%20Policy%20&amp;%20Process/Acreage%20Assessments%20%20SDA/Presentations/May%206%20Presentation/New%20direction/Fish%202025.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Business%20Strategy%20&amp;%20Performance/4.0%20Financial%20Policy%20&amp;%20Process/4.0%20Acreage%20Assessments%20%20SDA/Presentations/May%206%20Presentation/New%20direction/Pine%202025.xlsx"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Business%20Strategy%20&amp;%20Performance/4.0%20Financial%20Policy%20&amp;%20Process/4.0%20Acreage%20Assessments%20%20SDA/Debentures/Historical/Nose%20Creek%20Calculator%20-%202013-prior%20for%20drainage%20models.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Business%20Strategy%20&amp;%20Performance/Rates%20&amp;%20Financial/Acreage%20Assessments%20%20SDA/UDI%20reporting/Back%20Up%20files/Water%20Distribution%20Calculator%20-%202013-prior%20modified%20(2011-2013)%20June%2024th.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Business%20Strategy%20&amp;%20Performance/4.0%20Financial%20Policy%20&amp;%20Process/4.0%20Acreage%20Assessments%20%20SDA/UDI%20reporting/Drainage/Drainage%20back%20up/Shepard%20Calculator%20-2011-2013.xlsx"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Business%20Strategy%20&amp;%20Performance/4.0%20Financial%20Policy%20&amp;%20Process/4.0%20Acreage%20Assessments%20%20SDA/UDI%20reporting/Drainage/Drainage%20back%20up/Nose%20Creek%20Calculator%20-2011-2013.xlsx"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Paul%20Ramanat/Rates%20Inflation%20Tables/loanssep1803.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O:\Shared\Portfolio%20Finance%20Corp%20Serv_UEP\UEP\Water_Financial%20Rates%20Analyst\OSL\1.6%20OSL%20project%20for%202021%20rate\01%20models\4.1%202016%20OSL%20model%20for%20Water%20TP%20@Apr21.xlsx"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http://fscm.cofc.gov.calgary.ab.ca/psreports/fscm/7535076/DR_10945647_10959674_RESERVES_CITYC_2013-09-30.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http://fscm.cofc.gov.calgary.ab.ca/psreports/pdfs/4297116/DR_2819534_2896289_RESERVES_CITYC_2007-12-3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2-2014 Summary "/>
      <sheetName val="Rcvd 2012-2014 AA"/>
      <sheetName val="2012-2014 Summary NO DRAINAGE"/>
      <sheetName val="2014 Agreements"/>
      <sheetName val="Rcvd 2012-2014 AA_NO DRAINAGE"/>
      <sheetName val="2012-2014 AA NO DRAINAGE"/>
      <sheetName val="Calculated DA Values"/>
      <sheetName val="TOOL_Agreement Sectors"/>
      <sheetName val="TOOL_LevyTypes"/>
      <sheetName val="TOOL_UID_1"/>
      <sheetName val="TOOL_UID_2"/>
      <sheetName val="TOOL_UID3"/>
    </sheetNames>
    <sheetDataSet>
      <sheetData sheetId="0" refreshError="1"/>
      <sheetData sheetId="1"/>
      <sheetData sheetId="2" refreshError="1"/>
      <sheetData sheetId="3" refreshError="1"/>
      <sheetData sheetId="4" refreshError="1"/>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st Growth"/>
      <sheetName val="Cover Page"/>
      <sheetName val="Dashboard"/>
      <sheetName val="Summary"/>
      <sheetName val="Assumptions"/>
      <sheetName val="Final Assumptions"/>
      <sheetName val="O&amp;M"/>
      <sheetName val="Existing Debt"/>
      <sheetName val="CIP"/>
      <sheetName val="Capital Funding"/>
      <sheetName val="Sheet4"/>
      <sheetName val="Cash Flow"/>
      <sheetName val="Coverage"/>
      <sheetName val="Funds"/>
      <sheetName val="Sheet5"/>
      <sheetName val="Financial Policy Targets"/>
      <sheetName val="System Assets"/>
      <sheetName val="Water 2010"/>
      <sheetName val="Water 2011"/>
      <sheetName val="Water 2012"/>
      <sheetName val="Test 2014"/>
      <sheetName val="Test Year"/>
      <sheetName val="Retail Allocation"/>
      <sheetName val="Retail Cust Alloc"/>
      <sheetName val="COS Phase-In"/>
      <sheetName val="Retail Combined Impact"/>
      <sheetName val="Rate Design"/>
      <sheetName val="Rate Summary"/>
      <sheetName val="Meter Ratios"/>
      <sheetName val="Debt &amp; Equity"/>
      <sheetName val="Regional Allocation (2015)"/>
      <sheetName val="System Assets 2018"/>
      <sheetName val="Regional Allocation (2018)"/>
      <sheetName val="Regional Rate Schedule"/>
      <sheetName val="Charts--&gt;"/>
      <sheetName val="Sheet1"/>
      <sheetName val="Sheet2"/>
      <sheetName val="Allocation"/>
      <sheetName val="COS"/>
      <sheetName val="Flow of Funds"/>
      <sheetName val="RateDesign"/>
      <sheetName val="Current Rate Schedule"/>
      <sheetName val="Wholesale Alloc Charts"/>
      <sheetName val="Sheet3"/>
      <sheetName val="Combined Impact 2015"/>
      <sheetName val="Combined Impact 2018"/>
      <sheetName val="Impact 2015-2018"/>
      <sheetName val="Pipe Siz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er 1 - Loan beg 2009"/>
      <sheetName val="Loan w org int"/>
      <sheetName val="UEP AA Forecast"/>
    </sheetNames>
    <sheetDataSet>
      <sheetData sheetId="0"/>
      <sheetData sheetId="1"/>
      <sheetData sheetId="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umentation"/>
      <sheetName val="DataSort"/>
      <sheetName val="Mapping"/>
      <sheetName val="P840"/>
      <sheetName val="Master"/>
      <sheetName val="For input"/>
      <sheetName val="For EPM"/>
      <sheetName val="SupplementaryPage "/>
      <sheetName val="ExpenditureRevenue"/>
      <sheetName val="Pre 1999"/>
      <sheetName val="Struct"/>
      <sheetName val="350 M"/>
      <sheetName val="Growth"/>
      <sheetName val="350 M projection"/>
      <sheetName val="LI"/>
      <sheetName val="Detail"/>
      <sheetName val="OB25Breakdown"/>
      <sheetName val="IL"/>
      <sheetName val="WWSchedule"/>
      <sheetName val="DebtChargeSavings"/>
      <sheetName val="DebtDisplacement"/>
      <sheetName val="Contr. To Reserves"/>
      <sheetName val="LCMR 1.5% calculation"/>
      <sheetName val="LCMR 2.6% calculation"/>
      <sheetName val="C_Combined_Reserve"/>
      <sheetName val="CIF_Approved Options"/>
      <sheetName val="WWDebtSaving"/>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rrent WIIP Cash Flow"/>
      <sheetName val="CGMP Inflated Cash Flow"/>
      <sheetName val="WIIP Costs for Growth Updated"/>
      <sheetName val="West Macleod WIIP Costs"/>
      <sheetName val="West Macleod B Cases"/>
      <sheetName val="WIIP Costs for Growth"/>
      <sheetName val="Sheet1"/>
      <sheetName val="Master"/>
      <sheetName val="Water SC"/>
      <sheetName val="Wastewater SC"/>
      <sheetName val="Drainage SC"/>
      <sheetName val="Common Assets SC"/>
      <sheetName val="Tabl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README"/>
      <sheetName val="Billing- Levy Receivable"/>
      <sheetName val="Land Forecast"/>
      <sheetName val="Summary- Reserve 2013"/>
      <sheetName val="Scenario-40K Costs per Unit v2 "/>
      <sheetName val="Scenario-40KCosts per Unit 92-8"/>
      <sheetName val="Scenario-40K Plants Adjustments"/>
      <sheetName val="Scenario-40K Linear ADJ  92-8"/>
      <sheetName val="Scenario-40K Linear ADJ 80-20 "/>
      <sheetName val="Scenario-40K Costs per Unit "/>
      <sheetName val="Graph-current state analysis"/>
      <sheetName val="Graphs-volatility"/>
      <sheetName val="Billing- 2011-2013"/>
      <sheetName val="Billing- 2014 Summary"/>
      <sheetName val="Input"/>
      <sheetName val="Wastewater Collection model"/>
      <sheetName val="Wastewater Treatment model"/>
      <sheetName val="Water Distribution model"/>
      <sheetName val="Water Treatment model "/>
      <sheetName val="Debt-WTP 2025 Result"/>
      <sheetName val="Debt-WTP2011-2013-25Yrs"/>
      <sheetName val="Debt-WTP 2025 Input"/>
      <sheetName val="Debt-WWTP 2025 Result"/>
      <sheetName val="Summary- tables Updated"/>
      <sheetName val="Reserves v1"/>
      <sheetName val="Summary"/>
      <sheetName val="Financing"/>
      <sheetName val="EXP-WIIP 2015-2024"/>
      <sheetName val="EXP-AFE 2014"/>
      <sheetName val="EXP-CAPEX2000-2013 "/>
      <sheetName val="Debt-WWTP 2014 Input"/>
      <sheetName val="Debt-WWTP 2015-2024 Input"/>
      <sheetName val="Debt-WWTP 2015-2024-5Yrs"/>
      <sheetName val="Debt-WWTP 2015-2024 10Yrs"/>
      <sheetName val="Debt-WWTP 2015-2024 15Yrs"/>
      <sheetName val="Debt-WWTP- 2015-2024 20Yrs"/>
      <sheetName val="Debt-WWTP 2015-2024 25Yrs"/>
      <sheetName val="Debt-WWTP- 2015-2024 30Yrs"/>
      <sheetName val="Debt-WWTP 2025 5Yrs"/>
      <sheetName val="Debt-WWTP 2025 10Yrs"/>
      <sheetName val="Debt-WWTP 2025 15Yrs"/>
      <sheetName val="Debt-WWTP 2025 20Yrs"/>
      <sheetName val="Debt-WWTP 2025 25Yrs"/>
      <sheetName val="Debt-WWTP 2025 30Yrs"/>
      <sheetName val="Debt-WTP2000-2010Debt-15Yrs"/>
      <sheetName val="Debt-WTP 2000-2010Debt-25Yrs"/>
      <sheetName val="Debt-WWTP 2025 Input"/>
      <sheetName val="Debt- Distribution 2014 Input"/>
      <sheetName val="Debt-WTP 2000-2010Result"/>
      <sheetName val="Debt- Collection 2000-2010 15"/>
      <sheetName val="Debt- Collection 2000-2010 25y"/>
      <sheetName val="Debt- Water Treatment2014 Input"/>
      <sheetName val="Debt-Water Treat 2015-2024Input"/>
      <sheetName val="Debt-Water Treat 2015-202410Yrs"/>
      <sheetName val="Debt-Water Treat 2015-202415Yrs"/>
      <sheetName val="Debt-Water Treat 2015-202420Yrs"/>
      <sheetName val="Debt-Water Treat 2015-202425Yrs"/>
      <sheetName val="Debt-Water Treat 2015-202430Yrs"/>
      <sheetName val="Debt-WaterTreat 2015-2024 5Yrs"/>
      <sheetName val="Debt-Water Treat 2025 5Yrs"/>
      <sheetName val="Debt-Water Treat 2025 10Yrs"/>
      <sheetName val="Debt- Water Treat 2025 15Yrs"/>
      <sheetName val="Debt-Water Treat 2025 20Yrs"/>
      <sheetName val="Debt-Water Treat 2025 25Yrs"/>
      <sheetName val="Debt-Water Treat 2025 30Yrs"/>
      <sheetName val="Debt- Distrib 2015-2024 Input"/>
      <sheetName val="Debt-Distrib 2015-2024 5Yrs"/>
      <sheetName val="Debt-Distrib 2015-2024 10Yrs"/>
      <sheetName val="Debt-Distrib 2015-2024 15Yrs"/>
      <sheetName val="Debt-Distrib 2015-2024 20Yrs"/>
      <sheetName val="Debt- Distrib 2015-2024 25Yrs"/>
      <sheetName val="Debt- Distrib 2015-2024 30Yrs"/>
      <sheetName val="Debt- Distrib 2025 Input"/>
      <sheetName val="Debt- Distrib 2025 5Yrs"/>
      <sheetName val="Debt- Distrib 2025 10Yrs"/>
      <sheetName val="Debt- Distrib 2025 15Yrs"/>
      <sheetName val="Debt- Distrib 2025 20Yrs"/>
      <sheetName val="Debt- Distrib 2025 25Yrs"/>
      <sheetName val="Debt- Distrib 2025 30Yrs"/>
      <sheetName val="Debt-Collection Input 2015-2024"/>
      <sheetName val="Debt-Collection2015-2024 Result"/>
      <sheetName val="Debt-Collection 2015-2024 5Yrs"/>
      <sheetName val="Debt-Collection 2015-2024-10Yrs"/>
      <sheetName val="Debt-Collection 2015-2024 15Yrs"/>
      <sheetName val="Debt-Collection 2015-2024 20Yrs"/>
      <sheetName val="Debt-Collection 2015-2024 25Yrs"/>
      <sheetName val="Debt-Collection 2015-2024 30Yrs"/>
      <sheetName val="Debt-Collection 2014 Input"/>
      <sheetName val="Debt-Collection2025 Input"/>
      <sheetName val="Debt-WWTP 2015-2024 Result"/>
      <sheetName val="Debt-WTP 2015-2024Result"/>
      <sheetName val="Debt- Distrib 2015-2024 Result"/>
      <sheetName val="UDI Report"/>
      <sheetName val="Debt-Collection2000-2010 Result"/>
      <sheetName val="Debt-Collection2011-2013 Result"/>
      <sheetName val="Debt- Distrib2000-2010Result"/>
      <sheetName val="Debt-Distrib2000-2010Debt-15Yrs"/>
      <sheetName val="Debt-Distrib2000-2010Debt-25Yrs"/>
      <sheetName val="Debt-Distrib2011-2013Result"/>
      <sheetName val="Debt-Water Treatment 2014 25Yrs"/>
      <sheetName val="Debt-WTP 2014Result"/>
      <sheetName val="Debt-Collection 2014 25Yrs"/>
      <sheetName val="Debt-Collection 2014 Result"/>
      <sheetName val="Debt-WWTP 2014 Debt-25Yrs"/>
      <sheetName val="Debt-WWTP 2014 Result"/>
      <sheetName val="Debt- Distribution 2014 25Yrs"/>
      <sheetName val="Debt-Distribution 2014 Result"/>
      <sheetName val="Debt- Distrib 2025 Result"/>
      <sheetName val="Debt-WTP2011-2013Result"/>
      <sheetName val="Debt-WWTP 2011-2013Result"/>
      <sheetName val="Debt-WWTP 2011-2013-25Yrs"/>
      <sheetName val="Debt-WWTP 2000-2010 Result"/>
      <sheetName val="Debt-Collection 2011-2013 25Yrs"/>
      <sheetName val="Debt-WWTP2000-2010-25Yrs"/>
      <sheetName val="Debt-Distribution2011-2013-25"/>
      <sheetName val="Summary- Rates "/>
      <sheetName val="Debt- Pine Creek, Glenmore&amp;BP"/>
      <sheetName val="Debt-Collection2025 Result"/>
      <sheetName val="Debt-Collection 2025 25Yrs"/>
      <sheetName val="Recon- Levy sufficiency 2"/>
      <sheetName val="Recon-Levy sufficiency"/>
      <sheetName val="Summary- tables OLD"/>
      <sheetName val="Billing-2014 Details"/>
      <sheetName val="Analysis"/>
      <sheetName val="2014 UDI Report"/>
      <sheetName val="2014 Agreement summary"/>
      <sheetName val="Billing- 2014 due "/>
      <sheetName val="Summary-Rates presentation"/>
      <sheetName val="Summary-Rates June 2n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Debt-5Yrs"/>
      <sheetName val="Debt-10Yrs"/>
      <sheetName val="Debt-15Yrs"/>
      <sheetName val="Debt-20Yrs"/>
      <sheetName val="WWTP 2000-2010 Resultadded"/>
      <sheetName val="WWTP 2000-2010 Debt-25Yrsadded"/>
      <sheetName val="Debt-30Yrs"/>
      <sheetName val="WWTP 2011-2013Result"/>
      <sheetName val="WWTP 2011-2013Debt-25Yrs"/>
      <sheetName val="Distribution2000-2010Result"/>
      <sheetName val="Distribution2000-2010Debt-15Yrs"/>
      <sheetName val="Distribution2000-2010Debt-25Yrs"/>
    </sheetNames>
    <sheetDataSet>
      <sheetData sheetId="0"/>
      <sheetData sheetId="1"/>
      <sheetData sheetId="2"/>
      <sheetData sheetId="3"/>
      <sheetData sheetId="4"/>
      <sheetData sheetId="5"/>
      <sheetData sheetId="6" refreshError="1"/>
      <sheetData sheetId="7"/>
      <sheetData sheetId="8" refreshError="1"/>
      <sheetData sheetId="9" refreshError="1"/>
      <sheetData sheetId="10" refreshError="1"/>
      <sheetData sheetId="11" refreshError="1"/>
      <sheetData sheetId="1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Result"/>
      <sheetName val="Debt-5Yrs"/>
      <sheetName val="Debt-10Yrs"/>
      <sheetName val="Debt-15Yrs"/>
      <sheetName val="Debt-20Yrs"/>
      <sheetName val="Debt-25Yrs"/>
      <sheetName val="Debt-30Yrs"/>
    </sheetNames>
    <sheetDataSet>
      <sheetData sheetId="0"/>
      <sheetData sheetId="1"/>
      <sheetData sheetId="2"/>
      <sheetData sheetId="3"/>
      <sheetData sheetId="4"/>
      <sheetData sheetId="5"/>
      <sheetData sheetId="6"/>
      <sheetData sheetId="7"/>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Collection 2000-2010 Result"/>
      <sheetName val="Debt-5Yrs"/>
      <sheetName val="Debt-10Yrs"/>
      <sheetName val="Collection 2000-2010Debt-15Yrs"/>
      <sheetName val="Debt-20Yrs"/>
      <sheetName val="Collection 2000-2010 Debt-25Yrs"/>
      <sheetName val="Debt-30Yrs"/>
      <sheetName val="Sheet1"/>
      <sheetName val="Sheet2"/>
      <sheetName val="Sheet3"/>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WWTP 2011-2013Result"/>
      <sheetName val="Debt-5Yrs"/>
      <sheetName val="Debt-10Yrs"/>
      <sheetName val="Debt-15Yrs"/>
      <sheetName val="Debt-20Yrs"/>
      <sheetName val="WWTP 2011-2013Debt-25Yrs"/>
      <sheetName val="Debt-30Yrs"/>
      <sheetName val="Sheet1"/>
      <sheetName val="Sheet2"/>
      <sheetName val="Sheet3"/>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Debt-5Yrs"/>
      <sheetName val="Debt-10Yrs"/>
      <sheetName val="Debt-15Yrs"/>
      <sheetName val="Debt-20Yrs"/>
      <sheetName val="Debt-30Yrs"/>
      <sheetName val="Sheet2"/>
      <sheetName val="Water&amp;Waste model"/>
      <sheetName val="CAPEX 2011-2014"/>
      <sheetName val="CAPEX 2015 onwards"/>
      <sheetName val="Development-revenue"/>
      <sheetName val="Input"/>
      <sheetName val="Future Debt Summary"/>
      <sheetName val="Debt-25Yrs"/>
      <sheetName val="Sheet1"/>
      <sheetName val="Revenues"/>
      <sheetName val="Sheet4"/>
      <sheetName val="Sheet5"/>
      <sheetName val="Sheet6"/>
      <sheetName val="debentures"/>
      <sheetName val="debenture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WTP 2000-2010Result added"/>
      <sheetName val="Debt-5Yrs"/>
      <sheetName val="Debt-10Yrs"/>
      <sheetName val="Debt-20Yrs"/>
      <sheetName val="WTP 2000-2010Debt-25Yrs added"/>
      <sheetName val="Debt-30Yrs"/>
      <sheetName val="WTP2000-2010Debt-15Yrs"/>
      <sheetName val="Sheet1"/>
      <sheetName val="Sheet2"/>
      <sheetName val="Sheet3"/>
    </sheetNames>
    <sheetDataSet>
      <sheetData sheetId="0"/>
      <sheetData sheetId="1"/>
      <sheetData sheetId="2"/>
      <sheetData sheetId="3"/>
      <sheetData sheetId="4"/>
      <sheetData sheetId="5" refreshError="1"/>
      <sheetData sheetId="6"/>
      <sheetData sheetId="7"/>
      <sheetData sheetId="8" refreshError="1"/>
      <sheetData sheetId="9" refreshError="1"/>
      <sheetData sheetId="1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Debt-5Yrs"/>
      <sheetName val="Debt-10Yrs"/>
      <sheetName val="Debt-15Yrs"/>
      <sheetName val="Debt-20Yrs"/>
      <sheetName val="Debt-30Yrs"/>
      <sheetName val="Sheet2"/>
      <sheetName val="Water&amp;Waste model"/>
      <sheetName val="CAPEX 2011-2014"/>
      <sheetName val="CAPEX 2015 onwards"/>
      <sheetName val="Development-revenue"/>
      <sheetName val="Future Debt Summary"/>
      <sheetName val="Debt-25Yrs"/>
      <sheetName val="Input"/>
      <sheetName val="Sheet1"/>
      <sheetName val="Revenues"/>
      <sheetName val="Sheet4"/>
      <sheetName val="Sheet5"/>
      <sheetName val="Sheet6"/>
      <sheetName val="debentures"/>
      <sheetName val="debentures (2)"/>
    </sheetNames>
    <sheetDataSet>
      <sheetData sheetId="0" refreshError="1"/>
      <sheetData sheetId="1"/>
      <sheetData sheetId="2"/>
      <sheetData sheetId="3"/>
      <sheetData sheetId="4"/>
      <sheetData sheetId="5"/>
      <sheetData sheetId="6" refreshError="1"/>
      <sheetData sheetId="7"/>
      <sheetData sheetId="8" refreshError="1"/>
      <sheetData sheetId="9" refreshError="1"/>
      <sheetData sheetId="10" refreshError="1"/>
      <sheetData sheetId="1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Distribution2000-2010Result"/>
      <sheetName val="Debt-5Yrs"/>
      <sheetName val="Debt-10Yrs"/>
      <sheetName val="Distribution2000-2010Debt-15Yrs"/>
      <sheetName val="Debt-20Yrs"/>
      <sheetName val="Distribution2000-2010Debt-25Yrs"/>
      <sheetName val="Debt-30Yrs"/>
      <sheetName val="Sheet1"/>
      <sheetName val="Sheet2"/>
      <sheetName val="Sheet3"/>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Debt-5Yrs"/>
      <sheetName val="Debt-10Yrs"/>
      <sheetName val="Debt-15Yrs"/>
      <sheetName val="Debt-20Yrs"/>
      <sheetName val="Debt-30Yrs"/>
      <sheetName val="Sheet2"/>
      <sheetName val="Water&amp;Waste model"/>
      <sheetName val="CAPEX 2011-2014"/>
      <sheetName val="CAPEX 2015 onwards"/>
      <sheetName val="Development-revenue"/>
      <sheetName val="Input"/>
      <sheetName val="Bow Future 2025 Debt Summary"/>
      <sheetName val="Bow 2025 Debt-25Yrs"/>
      <sheetName val="Sheet1"/>
      <sheetName val="Revenues"/>
      <sheetName val="Sheet4"/>
      <sheetName val="Sheet5"/>
      <sheetName val="Sheet6"/>
      <sheetName val="debentures"/>
      <sheetName val="debentures (2)"/>
    </sheetNames>
    <sheetDataSet>
      <sheetData sheetId="0" refreshError="1"/>
      <sheetData sheetId="1"/>
      <sheetData sheetId="2"/>
      <sheetData sheetId="3"/>
      <sheetData sheetId="4"/>
      <sheetData sheetId="5"/>
      <sheetData sheetId="6" refreshError="1"/>
      <sheetData sheetId="7"/>
      <sheetData sheetId="8" refreshError="1"/>
      <sheetData sheetId="9" refreshError="1"/>
      <sheetData sheetId="10" refreshError="1"/>
      <sheetData sheetId="1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Debt-5Yrs"/>
      <sheetName val="Debt-10Yrs"/>
      <sheetName val="Debt-15Yrs"/>
      <sheetName val="Debt-20Yrs"/>
      <sheetName val="Debt-30Yrs"/>
      <sheetName val="Sheet2"/>
      <sheetName val="Water&amp;Waste model"/>
      <sheetName val="CAPEX 2011-2014"/>
      <sheetName val="CAPEX 2015 onwards"/>
      <sheetName val="Development-revenue"/>
      <sheetName val="Input"/>
      <sheetName val="Fish 2025 Debt Summary"/>
      <sheetName val="Fish 2025 Debt-25Yrs"/>
      <sheetName val="Sheet1"/>
      <sheetName val="Revenues"/>
      <sheetName val="Sheet4"/>
      <sheetName val="Sheet5"/>
      <sheetName val="Sheet6"/>
      <sheetName val="debentures"/>
      <sheetName val="debentures (2)"/>
    </sheetNames>
    <sheetDataSet>
      <sheetData sheetId="0" refreshError="1"/>
      <sheetData sheetId="1"/>
      <sheetData sheetId="2"/>
      <sheetData sheetId="3"/>
      <sheetData sheetId="4"/>
      <sheetData sheetId="5"/>
      <sheetData sheetId="6" refreshError="1"/>
      <sheetData sheetId="7"/>
      <sheetData sheetId="8" refreshError="1"/>
      <sheetData sheetId="9" refreshError="1"/>
      <sheetData sheetId="10" refreshError="1"/>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Debt-5Yrs"/>
      <sheetName val="Debt-10Yrs"/>
      <sheetName val="Debt-15Yrs"/>
      <sheetName val="Debt-20Yrs"/>
      <sheetName val="Debt-30Yrs"/>
      <sheetName val="Sheet2"/>
      <sheetName val="Water&amp;Waste model"/>
      <sheetName val="CAPEX 2011-2014"/>
      <sheetName val="CAPEX 2015 onwards"/>
      <sheetName val="Development-revenue"/>
      <sheetName val="Input"/>
      <sheetName val="Pine 2025 Debt Summary"/>
      <sheetName val="Pine 2025 Debt-25Yrs"/>
      <sheetName val="Sheet1"/>
      <sheetName val="Revenues"/>
      <sheetName val="Sheet4"/>
      <sheetName val="Sheet5"/>
      <sheetName val="Sheet6"/>
      <sheetName val="debentures"/>
      <sheetName val="debentures (2)"/>
    </sheetNames>
    <sheetDataSet>
      <sheetData sheetId="0" refreshError="1"/>
      <sheetData sheetId="1"/>
      <sheetData sheetId="2"/>
      <sheetData sheetId="3"/>
      <sheetData sheetId="4"/>
      <sheetData sheetId="5"/>
      <sheetData sheetId="6" refreshError="1"/>
      <sheetData sheetId="7"/>
      <sheetData sheetId="8" refreshError="1"/>
      <sheetData sheetId="9" refreshError="1"/>
      <sheetData sheetId="10" refreshError="1"/>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Nose 2013 Result"/>
      <sheetName val="Nose 2013 Debt-25Yrs"/>
      <sheetName val="Debt-5Yrs"/>
      <sheetName val="Debt-10Yrs"/>
      <sheetName val="Debt-15Yrs"/>
      <sheetName val="Debt-20Yrs"/>
      <sheetName val="Debt-30Yrs"/>
      <sheetName val="Sheet1"/>
      <sheetName val="Sheet2"/>
      <sheetName val="Sheet3"/>
    </sheetNames>
    <sheetDataSet>
      <sheetData sheetId="0"/>
      <sheetData sheetId="1"/>
      <sheetData sheetId="2" refreshError="1"/>
      <sheetData sheetId="3"/>
      <sheetData sheetId="4"/>
      <sheetData sheetId="5"/>
      <sheetData sheetId="6"/>
      <sheetData sheetId="7"/>
      <sheetData sheetId="8" refreshError="1"/>
      <sheetData sheetId="9" refreshError="1"/>
      <sheetData sheetId="1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Result"/>
      <sheetName val="Debt-5Yrs"/>
      <sheetName val="Debt-10Yrs"/>
      <sheetName val="Debt-15Yrs"/>
      <sheetName val="Debt-20Yrs"/>
      <sheetName val="Debt-25Yrs"/>
      <sheetName val="Debt-30Yrs"/>
      <sheetName val="Sheet1"/>
      <sheetName val="Sheet2"/>
      <sheetName val="Sheet3"/>
      <sheetName val="Distribution2011-2013Result"/>
      <sheetName val="Distribution2011-2013Debt-25Yrs"/>
      <sheetName val="WWTP 2011-2013Result"/>
      <sheetName val="WWTP 2011-2013Debt-25Yr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Shepard -2013 Result"/>
      <sheetName val="Debt-10Yrs"/>
      <sheetName val="Shepard -2013 Debt-15Yrs"/>
      <sheetName val="Debt-20Yrs"/>
      <sheetName val="Shepard-2013 Debt-25Yrs"/>
      <sheetName val="Debt-30Yrs"/>
      <sheetName val="Debt-5Yrs"/>
      <sheetName val="Sheet1"/>
      <sheetName val="Sheet2"/>
      <sheetName val="Sheet3"/>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Debt-5Yrs"/>
      <sheetName val="Debt-10Yrs"/>
      <sheetName val="Debt-15Yrs"/>
      <sheetName val="Debt-20Yrs"/>
      <sheetName val="Nose Result"/>
      <sheetName val="Nose Debt-25Yrs"/>
      <sheetName val="Debt-30Yrs"/>
      <sheetName val="Sheet1"/>
      <sheetName val="Sheet2"/>
      <sheetName val="Sheet3"/>
    </sheetNames>
    <sheetDataSet>
      <sheetData sheetId="0"/>
      <sheetData sheetId="1"/>
      <sheetData sheetId="2"/>
      <sheetData sheetId="3"/>
      <sheetData sheetId="4"/>
      <sheetData sheetId="5"/>
      <sheetData sheetId="6" refreshError="1"/>
      <sheetData sheetId="7"/>
      <sheetData sheetId="8" refreshError="1"/>
      <sheetData sheetId="9" refreshError="1"/>
      <sheetData sheetId="1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an"/>
    </sheetNames>
    <sheetDataSet>
      <sheetData sheetId="0"/>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22"/>
      <sheetName val="RSP WTP.P1"/>
      <sheetName val="Sheet3"/>
      <sheetName val="RSP WTP.P2"/>
      <sheetName val="Water TP @2016"/>
      <sheetName val="WTP Historical + Future "/>
    </sheetNames>
    <sheetDataSet>
      <sheetData sheetId="0" refreshError="1"/>
      <sheetData sheetId="1" refreshError="1"/>
      <sheetData sheetId="2" refreshError="1"/>
      <sheetData sheetId="3" refreshError="1"/>
      <sheetData sheetId="4"/>
      <sheetData sheetId="5"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COCGL_NVSDRILL_JRNLS"/>
      <sheetName val="Info"/>
    </sheetNames>
    <sheetDataSet>
      <sheetData sheetId="0"/>
      <sheetData sheetId="1"/>
      <sheetData sheetId="2"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COCGL_NVSDRILL_JRNLS"/>
      <sheetName val="Info"/>
    </sheetNames>
    <sheetDataSet>
      <sheetData sheetId="0"/>
      <sheetData sheetId="1"/>
      <sheetData sheetId="2"/>
    </sheetDataSet>
  </externalBook>
</externalLink>
</file>

<file path=xl/persons/person.xml><?xml version="1.0" encoding="utf-8"?>
<personList xmlns="http://schemas.microsoft.com/office/spreadsheetml/2018/threadedcomments" xmlns:x="http://schemas.openxmlformats.org/spreadsheetml/2006/main">
  <person displayName="Tse, Chris" id="{6D699139-17B5-4B51-983D-D788B9504595}" userId="S::CTSE1@calgary.ca::120e2938-42d9-4182-b5f9-95147f72418e" providerId="AD"/>
  <person displayName="Sedor, Angela K." id="{5FFC0620-4EA1-474A-A4D6-3AC09EE85FA2}" userId="S::AKEATON@calgary.ca::1611df54-6b60-4b61-8e11-32f547d93fff" providerId="AD"/>
  <person displayName="Nguyen, Helena" id="{37213347-B747-4463-8C3D-DBEE309553FC}" userId="S::tnguyen1@calgary.ca::840bbc17-afd0-40d1-bb1c-2d19620df962"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G8" dT="2022-09-21T20:59:02.22" personId="{6D699139-17B5-4B51-983D-D788B9504595}" id="{0EA9E9D2-BCA0-41C0-AF82-858B4C6013D0}">
    <text>These are the forecasted capital expenditures by year.</text>
  </threadedComment>
  <threadedComment ref="G10" dT="2022-11-22T00:25:42.89" personId="{6D699139-17B5-4B51-983D-D788B9504595}" id="{39F06743-39CD-44E1-8338-3C58D42EED76}">
    <text>These is the forecasted cost to be financed. The formula includes the forecasted capital cost by year, minus the debt that was previously taken. The result here is forecasted new debt taken.</text>
  </threadedComment>
  <threadedComment ref="G17" dT="2022-12-02T17:27:35.54" personId="{37213347-B747-4463-8C3D-DBEE309553FC}" id="{4C517940-341D-40BD-B6CC-2D7A1301BF07}">
    <text>Forecasted Non-Residential Construction Price Index (CPI) for Calgary</text>
  </threadedComment>
  <threadedComment ref="C39" dT="2022-09-21T21:01:33.82" personId="{6D699139-17B5-4B51-983D-D788B9504595}" id="{CECEFBC7-BEBD-43CA-A14A-60B3FA0A0FFD}">
    <text>Calculating debt servicing cost for each year's expenditures.</text>
  </threadedComment>
  <threadedComment ref="G39" dT="2022-09-21T21:08:43.34" personId="{6D699139-17B5-4B51-983D-D788B9504595}" id="{2644F718-7A86-412C-AC6B-4F35D5F13BF5}">
    <text>Projecting debt servicing cost</text>
  </threadedComment>
  <threadedComment ref="D52" dT="2022-09-21T21:02:02.10" personId="{6D699139-17B5-4B51-983D-D788B9504595}" id="{BC0B078D-2604-4B08-92FF-63B8C017E25D}">
    <text>NPV cost of debt servicing, shown in the summary tab</text>
  </threadedComment>
  <threadedComment ref="C59" dT="2022-09-21T21:03:15.07" personId="{6D699139-17B5-4B51-983D-D788B9504595}" id="{08216734-1901-42F1-B26F-34B118061F82}">
    <text>These are the debt servicing cost for expenditures during 2000-2023 shown on the next tab</text>
  </threadedComment>
</ThreadedComments>
</file>

<file path=xl/threadedComments/threadedComment2.xml><?xml version="1.0" encoding="utf-8"?>
<ThreadedComments xmlns="http://schemas.microsoft.com/office/spreadsheetml/2018/threadedcomments" xmlns:x="http://schemas.openxmlformats.org/spreadsheetml/2006/main">
  <threadedComment ref="C11" dT="2022-09-21T21:05:17.01" personId="{6D699139-17B5-4B51-983D-D788B9504595}" id="{9980E504-D02E-4729-A6D7-395D7CFEA25B}">
    <text>These are the total cost (City+Regional) of previous expansion projects from 2000-2014</text>
  </threadedComment>
  <threadedComment ref="B13" dT="2022-09-21T21:05:52.67" personId="{6D699139-17B5-4B51-983D-D788B9504595}" id="{3CA2B1B0-7239-491C-B65D-95938C7781FD}">
    <text>Adjusting the total cost to exclude regional, Row 8 shows Calgary's portion only. See Tab 5 on how benefit allocation was calculated.</text>
  </threadedComment>
  <threadedComment ref="D24" dT="2022-09-21T21:08:03.90" personId="{6D699139-17B5-4B51-983D-D788B9504595}" id="{EEBA5421-F046-43B0-AA09-D7F0EBE1BD64}">
    <text>This is the total debt servicing for expenditures in 2015-2023. This is Calgary's portion of the debt (regional is excluded)</text>
  </threadedComment>
</ThreadedComments>
</file>

<file path=xl/threadedComments/threadedComment3.xml><?xml version="1.0" encoding="utf-8"?>
<ThreadedComments xmlns="http://schemas.microsoft.com/office/spreadsheetml/2018/threadedcomments" xmlns:x="http://schemas.openxmlformats.org/spreadsheetml/2006/main">
  <threadedComment ref="H12" dT="2022-09-21T20:54:57.26" personId="{6D699139-17B5-4B51-983D-D788B9504595}" id="{2D8C7CDD-42B1-4095-91AB-56EA0AA70570}">
    <text>The max day demand planning criteria up until 2021 is 650L/capita/day</text>
  </threadedComment>
  <threadedComment ref="I22" dT="2022-09-21T20:54:02.02" personId="{6D699139-17B5-4B51-983D-D788B9504595}" id="{F44D431C-A588-4767-A88A-5EAB29756BF3}">
    <text>These the maximum volumes we have to deliver to regional partners, remaining capacity is available to serve Calgary</text>
  </threadedComment>
  <threadedComment ref="J22" dT="2022-09-21T21:10:41.71" personId="{6D699139-17B5-4B51-983D-D788B9504595}" id="{323D20B9-257B-46AF-88E9-77268FD79915}">
    <text>This is the capacity available for Calgary, after our regional obligations</text>
  </threadedComment>
  <threadedComment ref="G24" dT="2022-09-21T20:55:17.89" personId="{6D699139-17B5-4B51-983D-D788B9504595}" id="{82AA6771-71C7-42A7-A3A1-C6E9CC328F0B}">
    <text>Starting 2021, the max day demand planning criteria is 585L/capita/day. This additional capacity is coming from the Capacity Upgrade projects anticipated to be completed by 2026</text>
  </threadedComment>
  <threadedComment ref="G26" dT="2022-09-21T20:57:51.78" personId="{6D699139-17B5-4B51-983D-D788B9504595}" id="{4B3B6518-B0BB-4D4C-BD3D-D7C8F5BECE28}">
    <text>New capacity from new WTP coming in the 2030s.</text>
  </threadedComment>
  <threadedComment ref="H30" dT="2022-10-06T23:54:24.43" personId="{6D699139-17B5-4B51-983D-D788B9504595}" id="{56CD3333-E9F0-4E7C-B92B-EF18F81AF0DB}">
    <text>It is assumed the per capital consumption rates applies to all customer categories (residential, commerical, etc.)</text>
  </threadedComment>
  <threadedComment ref="A50" dT="2022-10-21T22:41:30.46" personId="{5FFC0620-4EA1-474A-A4D6-3AC09EE85FA2}" id="{F0A2F1B5-EB88-47E3-8C00-030CE2441AD3}">
    <text>CAn this jsut be moved to the capacity tab?</text>
  </threadedComment>
  <threadedComment ref="A50" dT="2022-11-16T23:33:18.83" personId="{6D699139-17B5-4B51-983D-D788B9504595}" id="{E7F7E280-8D88-45FF-B7BC-18C3FD60EC06}" parentId="{F0A2F1B5-EB88-47E3-8C00-030CE2441AD3}">
    <text>Done</text>
  </threadedComment>
  <threadedComment ref="C51" dT="2022-09-21T20:47:46.55" personId="{6D699139-17B5-4B51-983D-D788B9504595}" id="{753CD1BF-7171-43F0-A750-4F04865BB171}">
    <text>We recognize this percentage is taking the average of Calgary's population's utilization of the plants from 2005-2016. We decided to keep it 2005-2016 so it's consistent to the benefit allocation used for the 2016 OSL Bylaw update. If we used the average from 2005-2023, it would be a very small change compared to 2005-2016.</text>
  </threadedComment>
  <threadedComment ref="D51" dT="2022-09-21T20:48:34.44" personId="{6D699139-17B5-4B51-983D-D788B9504595}" id="{B8A6AFB8-F3A8-40FE-B860-92304808D07F}">
    <text>Total capacity added to serve Calgary (excludes Regional component)</text>
  </threadedComment>
  <threadedComment ref="D52" dT="2022-10-06T23:30:02.84" personId="{6D699139-17B5-4B51-983D-D788B9504595}" id="{E503EB38-04C1-4928-AC79-0ECA5F1D7BAF}">
    <text>Please note regional servicing requirements have already been considered to calculate this rating.</text>
  </threadedComment>
</ThreadedComments>
</file>

<file path=xl/threadedComments/threadedComment4.xml><?xml version="1.0" encoding="utf-8"?>
<ThreadedComments xmlns="http://schemas.microsoft.com/office/spreadsheetml/2018/threadedcomments" xmlns:x="http://schemas.openxmlformats.org/spreadsheetml/2006/main">
  <threadedComment ref="E9" dT="2022-10-20T21:59:19.83" personId="{6D699139-17B5-4B51-983D-D788B9504595}" id="{A8628063-7CB7-4E17-A64C-B543B92D019C}">
    <text>The capacity built in the Pine Creek WWTP is used up.</text>
  </threadedComment>
  <threadedComment ref="B12" dT="2022-10-20T22:02:11.57" personId="{6D699139-17B5-4B51-983D-D788B9504595}" id="{DB93BAF3-3E6F-465F-AE73-C99B5B0257C0}">
    <text>As mentioned in consultation sessions, a 2015 reference date was shown as that was the start year of the Bonnybrook WWTP plant expansion currently underway. The 2015 date was chosen so the present value and the entire plant expansion can be considered holistically</text>
  </threadedComment>
</ThreadedComments>
</file>

<file path=xl/threadedComments/threadedComment5.xml><?xml version="1.0" encoding="utf-8"?>
<ThreadedComments xmlns="http://schemas.microsoft.com/office/spreadsheetml/2018/threadedcomments" xmlns:x="http://schemas.openxmlformats.org/spreadsheetml/2006/main">
  <threadedComment ref="G6" dT="2022-09-21T21:18:46.88" personId="{6D699139-17B5-4B51-983D-D788B9504595}" id="{159536D7-C54D-495F-9735-86317C575CA6}">
    <text>Projected capital expenditures by year.</text>
  </threadedComment>
  <threadedComment ref="G15" dT="2023-09-05T17:20:53.85" personId="{37213347-B747-4463-8C3D-DBEE309553FC}" id="{417DC1C1-F6D6-42B4-9055-87E882409EFC}">
    <text>Forecasted Non-Residential Construction Price Index (CPI) for Calgary.</text>
  </threadedComment>
  <threadedComment ref="C20" dT="2022-09-21T21:19:10.07" personId="{6D699139-17B5-4B51-983D-D788B9504595}" id="{5168B314-5C4E-446E-A8E3-14AE28BD0BF4}">
    <text>Calculating the debt servicing cost based on capital expenditures by year</text>
  </threadedComment>
  <threadedComment ref="C30" dT="2022-09-21T21:20:51.93" personId="{6D699139-17B5-4B51-983D-D788B9504595}" id="{A8E73FE6-1191-4504-A31C-451C4ABCEBE4}">
    <text>Adding in debt servicing cost for 2015-23 expenditures so we can calculate an unit of capacity for the entire program, as explained in the Sept 8 consultation session</text>
  </threadedComment>
  <threadedComment ref="D31" dT="2022-09-21T21:21:10.94" personId="{6D699139-17B5-4B51-983D-D788B9504595}" id="{D2E84CB5-F861-4A4E-BC0C-D65C12BF964F}">
    <text>NPV used to calculate the Present Value of the program</text>
  </threadedComment>
  <threadedComment ref="C54" dT="2022-09-21T21:21:59.94" personId="{6D699139-17B5-4B51-983D-D788B9504595}" id="{33ABF483-E26E-4BDB-B168-27C0E4CA5C47}">
    <text>A portion of Pine Creek's cost was held back in 2008 to account for equipment sized to serve the future. Details in the Pine Creek Cost tab. We're adding in the cost for this plant expansion. Additional cost held back for future stages of expansions will be added back in when those expansions are required.</text>
  </threadedComment>
</ThreadedComments>
</file>

<file path=xl/threadedComments/threadedComment6.xml><?xml version="1.0" encoding="utf-8"?>
<ThreadedComments xmlns="http://schemas.microsoft.com/office/spreadsheetml/2018/threadedcomments" xmlns:x="http://schemas.openxmlformats.org/spreadsheetml/2006/main">
  <threadedComment ref="C11" dT="2022-09-21T21:24:44.17" personId="{6D699139-17B5-4B51-983D-D788B9504595}" id="{EF108BAE-5E69-4C96-85D6-4F9A8E110D76}">
    <text>Total cost of Pine Creek Stage 1 (City + Regional portions)</text>
  </threadedComment>
  <threadedComment ref="D11" dT="2022-11-22T02:02:01.64" personId="{6D699139-17B5-4B51-983D-D788B9504595}" id="{14E0DF62-27CB-452B-B599-9D67B609F945}">
    <text>Cash is not debt serviced</text>
  </threadedComment>
  <threadedComment ref="B13" dT="2022-09-21T21:25:17.99" personId="{6D699139-17B5-4B51-983D-D788B9504595}" id="{8383C6A7-BF1E-4CF4-9F4A-46B9448C5582}">
    <text>Cost of original expansion alloted to future expansions. See the Tab 11 for details</text>
  </threadedComment>
  <threadedComment ref="B14" dT="2022-09-21T21:25:30.02" personId="{6D699139-17B5-4B51-983D-D788B9504595}" id="{10400935-5B35-446C-B9A8-4478E6F98F20}">
    <text>Cost of orginal construction alloted to Stage 2A, see Tab 11 for details</text>
  </threadedComment>
  <threadedComment ref="B16" dT="2022-11-22T02:04:34.14" personId="{6D699139-17B5-4B51-983D-D788B9504595}" id="{98A89C4E-F93D-4E84-9FA8-0910015C9EB2}">
    <text>This was the original benefit allocation for the City's percentage for Pine Creek in 2008.</text>
  </threadedComment>
  <threadedComment ref="C17" dT="2022-09-21T21:26:29.57" personId="{6D699139-17B5-4B51-983D-D788B9504595}" id="{F0860887-B2F8-43A8-8229-5F8E47A00644}">
    <text>City (excluding regional)'s portion of the original Stage 1, after subtracting alloted cost for future expansion. Row 12 shows the debt servicing cost for this portion only</text>
  </threadedComment>
  <threadedComment ref="AB21" dT="2023-08-09T19:38:17.02" personId="{37213347-B747-4463-8C3D-DBEE309553FC}" id="{F0581E90-ED5D-4865-9389-28164B7307C6}">
    <text>Actual until June 2023, forecast for remaining of the year</text>
  </threadedComment>
  <threadedComment ref="AB22" dT="2023-08-09T20:01:50.24" personId="{37213347-B747-4463-8C3D-DBEE309553FC}" id="{6CE1639F-B7A1-49F9-92F3-F38019EE7AE0}">
    <text>The formula here calculates the forecasted capital costs, minus the debt previously taken, minus 3.008M provided by the ACRP for this project. The result is the net new amount of debt taken to finance the project for the year.</text>
  </threadedComment>
  <threadedComment ref="D28" dT="2022-09-21T21:26:56.54" personId="{6D699139-17B5-4B51-983D-D788B9504595}" id="{B948FFED-BFD6-41A2-91EB-FB9E1C0B1A62}">
    <text>Calculating debt servicing cost for 2015-23 expenditures.</text>
  </threadedComment>
  <threadedComment ref="D28" dT="2022-11-22T23:37:01.65" personId="{6D699139-17B5-4B51-983D-D788B9504595}" id="{F23B9CC4-FD2C-47CF-BB65-057F1D9602A1}" parentId="{B948FFED-BFD6-41A2-91EB-FB9E1C0B1A62}">
    <text>Please note this if for Calgary's portion only, regional is excluded.</text>
  </threadedComment>
</ThreadedComments>
</file>

<file path=xl/threadedComments/threadedComment7.xml><?xml version="1.0" encoding="utf-8"?>
<ThreadedComments xmlns="http://schemas.microsoft.com/office/spreadsheetml/2018/threadedcomments" xmlns:x="http://schemas.openxmlformats.org/spreadsheetml/2006/main">
  <threadedComment ref="D15" dT="2022-11-22T02:39:40.69" personId="{6D699139-17B5-4B51-983D-D788B9504595}" id="{BE50EC29-B57C-44F0-A1D5-DAC04092BD6D}">
    <text>The costs of this project was previously included as "South Catchment Capacity Upgrade" in the 2016 OSL. This project got split out of the Capacity Upgrade and became it's own project.</text>
  </threadedComment>
</ThreadedComments>
</file>

<file path=xl/threadedComments/threadedComment8.xml><?xml version="1.0" encoding="utf-8"?>
<ThreadedComments xmlns="http://schemas.microsoft.com/office/spreadsheetml/2018/threadedcomments" xmlns:x="http://schemas.openxmlformats.org/spreadsheetml/2006/main">
  <threadedComment ref="C5" dT="2022-09-21T21:36:20.77" personId="{6D699139-17B5-4B51-983D-D788B9504595}" id="{473D2019-10FE-480C-AC51-83943FC5ED88}">
    <text>December 2020 regional population data is the latest data we have available from our regional partners.</text>
  </threadedComment>
  <threadedComment ref="G17" dT="2022-09-21T21:33:24.03" personId="{6D699139-17B5-4B51-983D-D788B9504595}" id="{8E935C0F-A687-4877-BC91-D229F063A118}">
    <text>Multi-year incremental capacity gains from the Bonnybrook Capacity Upgrades project, along with the supporting projects on the capital list</text>
  </threadedComment>
  <threadedComment ref="F19" dT="2022-09-21T21:29:34.72" personId="{6D699139-17B5-4B51-983D-D788B9504595}" id="{53206FA8-DB30-4072-B809-DC86D240D3D6}">
    <text>Pine Creek underwent a plant optimization exercise with stress testing and debottlenecking constraints to add 25,000EP to its rating. The cost of this project is not added into the OSL</text>
  </threadedComment>
  <threadedComment ref="G22" dT="2022-09-21T21:33:40.14" personId="{6D699139-17B5-4B51-983D-D788B9504595}" id="{7B9FA9D0-1977-47E1-BE95-559221C207A9}">
    <text>BBWWTP Plant D expansion Phase 1</text>
  </threadedComment>
  <threadedComment ref="F24" dT="2022-09-21T21:31:12.73" personId="{6D699139-17B5-4B51-983D-D788B9504595}" id="{CEA7C772-71B9-46A4-8A10-700C76C72963}">
    <text>Fish Creek WWTP is undergoing a plant upgrade project to be completed by 2028. The upgrades are mostly regulatory driven, this shows the EP increase from the upgrades. The cost of this project is not included in the OSL due to the requirements for the upgrades being regulatory driven</text>
  </threadedComment>
  <threadedComment ref="G24" dT="2022-09-21T21:34:06.83" personId="{6D699139-17B5-4B51-983D-D788B9504595}" id="{C21835C6-B662-4F4D-A34D-63D29B19276C}">
    <text>BBWWTP Plant D expansion Phase 2</text>
  </threadedComment>
  <threadedComment ref="F25" dT="2022-09-21T21:31:40.18" personId="{6D699139-17B5-4B51-983D-D788B9504595}" id="{59CC7602-14F7-467E-95ED-86668C9A2BB1}">
    <text>Capacity gained as a part of the planned wet weather upgrades for Stage 2A</text>
  </threadedComment>
  <threadedComment ref="F26" dT="2022-09-21T21:32:05.34" personId="{6D699139-17B5-4B51-983D-D788B9504595}" id="{E1FFCD3E-8785-4FDD-A196-992E01C1764E}">
    <text>Pine Creek Stage 2A main process upgrade</text>
  </threadedComment>
  <threadedComment ref="G26" dT="2022-09-21T21:34:55.45" personId="{6D699139-17B5-4B51-983D-D788B9504595}" id="{B56F982F-34A9-451B-A1B3-2B4189CC8BC9}">
    <text>Anticipated BB WWTP Plant E expansion in the future. OSL collection not started in this bylaw upate because spending is not projected to begin in the next business cycle</text>
  </threadedComment>
  <threadedComment ref="C32" dT="2022-09-21T21:12:27.71" personId="{6D699139-17B5-4B51-983D-D788B9504595}" id="{7AD49BBF-CF92-495F-B801-319D2B2659C1}">
    <text>The original 2008 plant assumed 97% of the plant capacity was to serve Calgary</text>
  </threadedComment>
  <threadedComment ref="D32" dT="2022-09-21T21:12:58.10" personId="{6D699139-17B5-4B51-983D-D788B9504595}" id="{C083E942-6EB0-4509-861E-D10A3E53EFD2}">
    <text>Capacity to serve Calgary after excluding regional customers.</text>
  </threadedComment>
</ThreadedComments>
</file>

<file path=xl/threadedComments/threadedComment9.xml><?xml version="1.0" encoding="utf-8"?>
<ThreadedComments xmlns="http://schemas.microsoft.com/office/spreadsheetml/2018/threadedcomments" xmlns:x="http://schemas.openxmlformats.org/spreadsheetml/2006/main">
  <threadedComment ref="C56" dT="2022-10-08T00:07:04.58" personId="{6D699139-17B5-4B51-983D-D788B9504595}" id="{87EA45AE-E482-432E-8CB5-59405602AEB4}">
    <text>This is the subtotal of construction costs only. Other costs required to build the plant, such as engineering consulting costs are not included here.</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 Id="rId4" Type="http://schemas.microsoft.com/office/2017/10/relationships/threadedComment" Target="../threadedComments/threadedComment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6.bin"/><Relationship Id="rId5" Type="http://schemas.microsoft.com/office/2017/10/relationships/threadedComment" Target="../threadedComments/threadedComment3.xml"/><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7.bin"/><Relationship Id="rId4" Type="http://schemas.microsoft.com/office/2017/10/relationships/threadedComment" Target="../threadedComments/threadedComment4.xml"/></Relationships>
</file>

<file path=xl/worksheets/_rels/sheet8.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8.bin"/><Relationship Id="rId4" Type="http://schemas.microsoft.com/office/2017/10/relationships/threadedComment" Target="../threadedComments/threadedComment5.xml"/></Relationships>
</file>

<file path=xl/worksheets/_rels/sheet9.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9.bin"/><Relationship Id="rId4" Type="http://schemas.microsoft.com/office/2017/10/relationships/threadedComment" Target="../threadedComments/threadedComment6.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0.bin"/><Relationship Id="rId4" Type="http://schemas.microsoft.com/office/2017/10/relationships/threadedComment" Target="../threadedComments/threadedComment7.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1.bin"/><Relationship Id="rId4" Type="http://schemas.microsoft.com/office/2017/10/relationships/threadedComment" Target="../threadedComments/threadedComment8.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2.bin"/><Relationship Id="rId4" Type="http://schemas.microsoft.com/office/2017/10/relationships/threadedComment" Target="../threadedComments/threadedComment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0D934-93C0-46CC-9B99-CE07EBE931DB}">
  <sheetPr>
    <tabColor theme="0"/>
  </sheetPr>
  <dimension ref="A1:K25"/>
  <sheetViews>
    <sheetView tabSelected="1" topLeftCell="A9" zoomScaleNormal="100" workbookViewId="0">
      <selection activeCell="A2" sqref="A2:C2"/>
    </sheetView>
  </sheetViews>
  <sheetFormatPr defaultRowHeight="14.5" x14ac:dyDescent="0.35"/>
  <cols>
    <col min="1" max="1" width="14" customWidth="1"/>
    <col min="2" max="2" width="21.453125" customWidth="1"/>
    <col min="3" max="3" width="90.54296875" customWidth="1"/>
  </cols>
  <sheetData>
    <row r="1" spans="1:11" ht="18.75" customHeight="1" x14ac:dyDescent="0.4">
      <c r="A1" s="590" t="s">
        <v>0</v>
      </c>
      <c r="B1" s="3"/>
      <c r="C1" s="3"/>
      <c r="D1" s="3"/>
      <c r="E1" s="3"/>
      <c r="F1" s="3"/>
      <c r="G1" s="3"/>
      <c r="H1" s="3"/>
      <c r="I1" s="3"/>
      <c r="J1" s="3"/>
      <c r="K1" s="3"/>
    </row>
    <row r="2" spans="1:11" ht="186" customHeight="1" x14ac:dyDescent="0.35">
      <c r="A2" s="536" t="s">
        <v>1</v>
      </c>
      <c r="B2" s="536"/>
      <c r="C2" s="536"/>
      <c r="D2" s="3"/>
      <c r="E2" s="3"/>
      <c r="F2" s="3"/>
      <c r="G2" s="3"/>
      <c r="H2" s="3"/>
      <c r="I2" s="3"/>
      <c r="J2" s="3"/>
      <c r="K2" s="3"/>
    </row>
    <row r="3" spans="1:11" x14ac:dyDescent="0.35">
      <c r="A3" s="3"/>
      <c r="B3" s="3"/>
      <c r="C3" s="3"/>
      <c r="D3" s="3"/>
      <c r="E3" s="3"/>
      <c r="F3" s="3"/>
      <c r="G3" s="3"/>
      <c r="H3" s="3"/>
      <c r="I3" s="3"/>
      <c r="J3" s="3"/>
      <c r="K3" s="3"/>
    </row>
    <row r="4" spans="1:11" s="3" customFormat="1" ht="15.5" x14ac:dyDescent="0.35">
      <c r="A4" s="237" t="s">
        <v>2</v>
      </c>
      <c r="B4" s="238"/>
      <c r="C4" s="238"/>
    </row>
    <row r="5" spans="1:11" x14ac:dyDescent="0.35">
      <c r="A5" s="319" t="s">
        <v>3</v>
      </c>
      <c r="B5" s="319" t="s">
        <v>4</v>
      </c>
      <c r="C5" s="319" t="s">
        <v>5</v>
      </c>
      <c r="E5" s="3"/>
      <c r="F5" s="3"/>
      <c r="G5" s="3"/>
      <c r="H5" s="3"/>
      <c r="I5" s="3"/>
      <c r="J5" s="3"/>
      <c r="K5" s="3"/>
    </row>
    <row r="6" spans="1:11" ht="24" x14ac:dyDescent="0.35">
      <c r="A6" s="513" t="s">
        <v>6</v>
      </c>
      <c r="B6" s="513" t="s">
        <v>7</v>
      </c>
      <c r="C6" s="487" t="s">
        <v>8</v>
      </c>
      <c r="D6" s="3"/>
      <c r="E6" s="3"/>
      <c r="F6" s="3"/>
      <c r="G6" s="3"/>
      <c r="H6" s="3"/>
      <c r="I6" s="3"/>
      <c r="J6" s="3"/>
      <c r="K6" s="3"/>
    </row>
    <row r="7" spans="1:11" ht="47" x14ac:dyDescent="0.35">
      <c r="A7" s="513" t="s">
        <v>9</v>
      </c>
      <c r="B7" s="513" t="s">
        <v>10</v>
      </c>
      <c r="C7" s="487" t="s">
        <v>11</v>
      </c>
      <c r="D7" s="3"/>
      <c r="E7" s="3"/>
      <c r="F7" s="3"/>
      <c r="G7" s="3"/>
      <c r="H7" s="3"/>
      <c r="I7" s="3"/>
      <c r="J7" s="3"/>
      <c r="K7" s="3"/>
    </row>
    <row r="8" spans="1:11" ht="24" x14ac:dyDescent="0.35">
      <c r="A8" s="513" t="s">
        <v>12</v>
      </c>
      <c r="B8" s="513" t="s">
        <v>13</v>
      </c>
      <c r="C8" s="487" t="s">
        <v>14</v>
      </c>
      <c r="D8" s="3"/>
      <c r="E8" s="3"/>
      <c r="F8" s="3"/>
      <c r="G8" s="3"/>
      <c r="H8" s="3"/>
      <c r="I8" s="3"/>
      <c r="J8" s="3"/>
      <c r="K8" s="3"/>
    </row>
    <row r="9" spans="1:11" ht="24" x14ac:dyDescent="0.35">
      <c r="A9" s="513" t="s">
        <v>15</v>
      </c>
      <c r="B9" s="513" t="s">
        <v>16</v>
      </c>
      <c r="C9" s="487" t="s">
        <v>17</v>
      </c>
      <c r="D9" s="3"/>
      <c r="E9" s="3"/>
      <c r="F9" s="3"/>
      <c r="G9" s="3"/>
      <c r="H9" s="3"/>
      <c r="I9" s="3"/>
      <c r="J9" s="3"/>
      <c r="K9" s="3"/>
    </row>
    <row r="10" spans="1:11" ht="47" x14ac:dyDescent="0.35">
      <c r="A10" s="513" t="s">
        <v>18</v>
      </c>
      <c r="B10" s="513" t="s">
        <v>19</v>
      </c>
      <c r="C10" s="487" t="s">
        <v>20</v>
      </c>
      <c r="D10" s="3"/>
      <c r="E10" s="3"/>
      <c r="F10" s="3"/>
      <c r="G10" s="3"/>
      <c r="H10" s="3"/>
      <c r="I10" s="3"/>
      <c r="J10" s="3"/>
      <c r="K10" s="3"/>
    </row>
    <row r="11" spans="1:11" x14ac:dyDescent="0.35">
      <c r="A11" s="514"/>
      <c r="B11" s="514"/>
      <c r="C11" s="238"/>
      <c r="D11" s="3"/>
      <c r="E11" s="3"/>
      <c r="F11" s="3"/>
      <c r="G11" s="3"/>
      <c r="H11" s="3"/>
      <c r="I11" s="3"/>
      <c r="J11" s="3"/>
      <c r="K11" s="3"/>
    </row>
    <row r="12" spans="1:11" x14ac:dyDescent="0.35">
      <c r="A12" s="514"/>
      <c r="B12" s="514"/>
      <c r="C12" s="238"/>
      <c r="D12" s="3"/>
      <c r="E12" s="3"/>
      <c r="F12" s="3"/>
      <c r="G12" s="3"/>
      <c r="H12" s="3"/>
      <c r="I12" s="3"/>
      <c r="J12" s="3"/>
      <c r="K12" s="3"/>
    </row>
    <row r="13" spans="1:11" ht="15.5" x14ac:dyDescent="0.35">
      <c r="A13" s="515" t="s">
        <v>21</v>
      </c>
      <c r="B13" s="516"/>
      <c r="C13" s="276"/>
      <c r="D13" s="3"/>
      <c r="E13" s="3"/>
      <c r="F13" s="3"/>
      <c r="G13" s="3"/>
      <c r="H13" s="3"/>
      <c r="I13" s="3"/>
      <c r="J13" s="3"/>
      <c r="K13" s="3"/>
    </row>
    <row r="14" spans="1:11" x14ac:dyDescent="0.35">
      <c r="A14" s="486" t="s">
        <v>3</v>
      </c>
      <c r="B14" s="486" t="s">
        <v>4</v>
      </c>
      <c r="C14" s="319" t="s">
        <v>5</v>
      </c>
      <c r="D14" s="3"/>
      <c r="E14" s="3"/>
      <c r="F14" s="3"/>
      <c r="G14" s="3"/>
      <c r="H14" s="3"/>
      <c r="I14" s="3"/>
      <c r="J14" s="3"/>
      <c r="K14" s="3"/>
    </row>
    <row r="15" spans="1:11" ht="24" x14ac:dyDescent="0.35">
      <c r="A15" s="513" t="s">
        <v>22</v>
      </c>
      <c r="B15" s="513" t="s">
        <v>23</v>
      </c>
      <c r="C15" s="487" t="s">
        <v>24</v>
      </c>
      <c r="D15" s="3"/>
      <c r="E15" s="3"/>
      <c r="F15" s="3"/>
      <c r="G15" s="3"/>
      <c r="H15" s="3"/>
      <c r="I15" s="3"/>
      <c r="J15" s="3"/>
      <c r="K15" s="3"/>
    </row>
    <row r="16" spans="1:11" ht="47" x14ac:dyDescent="0.35">
      <c r="A16" s="513" t="s">
        <v>25</v>
      </c>
      <c r="B16" s="513" t="s">
        <v>26</v>
      </c>
      <c r="C16" s="487" t="s">
        <v>27</v>
      </c>
      <c r="D16" s="3"/>
      <c r="E16" s="3"/>
      <c r="F16" s="3"/>
      <c r="G16" s="3"/>
      <c r="H16" s="3"/>
      <c r="I16" s="3"/>
      <c r="J16" s="3"/>
      <c r="K16" s="3"/>
    </row>
    <row r="17" spans="1:11" ht="24" x14ac:dyDescent="0.35">
      <c r="A17" s="513" t="s">
        <v>28</v>
      </c>
      <c r="B17" s="513" t="s">
        <v>29</v>
      </c>
      <c r="C17" s="487" t="s">
        <v>14</v>
      </c>
      <c r="D17" s="3"/>
      <c r="E17" s="3"/>
      <c r="F17" s="3"/>
      <c r="G17" s="3"/>
      <c r="H17" s="3"/>
      <c r="I17" s="3"/>
      <c r="J17" s="3"/>
      <c r="K17" s="3"/>
    </row>
    <row r="18" spans="1:11" ht="35.5" x14ac:dyDescent="0.35">
      <c r="A18" s="513" t="s">
        <v>30</v>
      </c>
      <c r="B18" s="513" t="s">
        <v>31</v>
      </c>
      <c r="C18" s="487" t="s">
        <v>32</v>
      </c>
      <c r="D18" s="3"/>
      <c r="E18" s="3"/>
      <c r="F18" s="3"/>
      <c r="G18" s="3"/>
      <c r="H18" s="3"/>
      <c r="I18" s="3"/>
      <c r="J18" s="3"/>
      <c r="K18" s="3"/>
    </row>
    <row r="19" spans="1:11" ht="24" x14ac:dyDescent="0.35">
      <c r="A19" s="513" t="s">
        <v>33</v>
      </c>
      <c r="B19" s="513" t="s">
        <v>34</v>
      </c>
      <c r="C19" s="487" t="s">
        <v>35</v>
      </c>
      <c r="D19" s="3"/>
      <c r="E19" s="3"/>
      <c r="F19" s="3"/>
      <c r="G19" s="3"/>
      <c r="H19" s="3"/>
      <c r="I19" s="3"/>
      <c r="J19" s="3"/>
      <c r="K19" s="3"/>
    </row>
    <row r="20" spans="1:11" ht="95.25" customHeight="1" x14ac:dyDescent="0.35">
      <c r="A20" s="513" t="s">
        <v>36</v>
      </c>
      <c r="B20" s="513" t="s">
        <v>37</v>
      </c>
      <c r="C20" s="487" t="s">
        <v>38</v>
      </c>
      <c r="D20" s="3"/>
      <c r="E20" s="3"/>
      <c r="F20" s="3"/>
      <c r="G20" s="3"/>
      <c r="H20" s="3"/>
      <c r="I20" s="3"/>
      <c r="J20" s="3"/>
      <c r="K20" s="3"/>
    </row>
    <row r="21" spans="1:11" x14ac:dyDescent="0.35">
      <c r="A21" s="3"/>
      <c r="B21" s="3"/>
      <c r="C21" s="3"/>
      <c r="D21" s="3"/>
      <c r="E21" s="3"/>
      <c r="F21" s="3"/>
      <c r="G21" s="3"/>
      <c r="H21" s="3"/>
      <c r="I21" s="3"/>
      <c r="J21" s="3"/>
      <c r="K21" s="3"/>
    </row>
    <row r="22" spans="1:11" x14ac:dyDescent="0.35">
      <c r="A22" s="3"/>
      <c r="B22" s="3"/>
      <c r="C22" s="3"/>
      <c r="D22" s="3"/>
      <c r="E22" s="3"/>
      <c r="F22" s="3"/>
      <c r="G22" s="3"/>
      <c r="H22" s="3"/>
      <c r="I22" s="3"/>
      <c r="J22" s="3"/>
      <c r="K22" s="3"/>
    </row>
    <row r="23" spans="1:11" x14ac:dyDescent="0.35">
      <c r="A23" s="3"/>
      <c r="B23" s="3"/>
      <c r="C23" s="3"/>
      <c r="D23" s="3"/>
      <c r="E23" s="3"/>
      <c r="F23" s="3"/>
      <c r="G23" s="3"/>
      <c r="H23" s="3"/>
      <c r="I23" s="3"/>
      <c r="J23" s="3"/>
      <c r="K23" s="3"/>
    </row>
    <row r="24" spans="1:11" x14ac:dyDescent="0.35">
      <c r="A24" s="3"/>
      <c r="B24" s="3"/>
      <c r="C24" s="3"/>
      <c r="D24" s="3"/>
      <c r="E24" s="3"/>
      <c r="F24" s="3"/>
      <c r="G24" s="3"/>
      <c r="H24" s="3"/>
      <c r="I24" s="3"/>
      <c r="J24" s="3"/>
      <c r="K24" s="3"/>
    </row>
    <row r="25" spans="1:11" x14ac:dyDescent="0.35">
      <c r="A25" s="3"/>
      <c r="B25" s="3"/>
      <c r="C25" s="3"/>
      <c r="D25" s="3"/>
      <c r="E25" s="3"/>
      <c r="F25" s="3"/>
      <c r="G25" s="3"/>
      <c r="H25" s="3"/>
      <c r="I25" s="3"/>
      <c r="J25" s="3"/>
      <c r="K25" s="3"/>
    </row>
  </sheetData>
  <mergeCells count="1">
    <mergeCell ref="A2:C2"/>
  </mergeCells>
  <phoneticPr fontId="28"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pageSetUpPr fitToPage="1"/>
  </sheetPr>
  <dimension ref="A1:L19"/>
  <sheetViews>
    <sheetView workbookViewId="0">
      <selection sqref="A1:XFD1048576"/>
    </sheetView>
  </sheetViews>
  <sheetFormatPr defaultColWidth="9.1796875" defaultRowHeight="14.5" x14ac:dyDescent="0.35"/>
  <cols>
    <col min="1" max="1" width="30.54296875" style="238" customWidth="1"/>
    <col min="2" max="4" width="18.453125" style="238" customWidth="1"/>
    <col min="5" max="5" width="26.1796875" style="238" bestFit="1" customWidth="1"/>
    <col min="6" max="6" width="16.54296875" style="238" bestFit="1" customWidth="1"/>
    <col min="7" max="7" width="18.453125" style="238" customWidth="1"/>
    <col min="8" max="8" width="24" style="238" customWidth="1"/>
    <col min="9" max="13" width="9.54296875" style="3" customWidth="1"/>
    <col min="14" max="14" width="15.54296875" style="3" customWidth="1"/>
    <col min="15" max="16384" width="9.1796875" style="3"/>
  </cols>
  <sheetData>
    <row r="1" spans="1:12" ht="15.5" x14ac:dyDescent="0.35">
      <c r="A1" s="237" t="s">
        <v>39</v>
      </c>
      <c r="C1" s="236"/>
      <c r="D1" s="236"/>
      <c r="E1" s="236"/>
      <c r="F1" s="236"/>
      <c r="G1" s="236"/>
      <c r="H1" s="236"/>
      <c r="I1" s="1"/>
      <c r="J1" s="12"/>
      <c r="K1" s="1"/>
      <c r="L1" s="1"/>
    </row>
    <row r="2" spans="1:12" x14ac:dyDescent="0.35">
      <c r="A2" s="275" t="s">
        <v>40</v>
      </c>
      <c r="B2" s="276"/>
      <c r="C2" s="276"/>
      <c r="D2" s="276"/>
      <c r="E2" s="276"/>
      <c r="F2" s="276"/>
      <c r="G2" s="276"/>
      <c r="H2" s="276"/>
      <c r="J2" s="13"/>
    </row>
    <row r="3" spans="1:12" x14ac:dyDescent="0.35">
      <c r="A3" s="276" t="s">
        <v>41</v>
      </c>
      <c r="B3" s="277"/>
      <c r="C3" s="278"/>
      <c r="D3" s="278"/>
      <c r="E3" s="277"/>
      <c r="F3" s="277"/>
      <c r="G3" s="278"/>
      <c r="H3" s="278"/>
      <c r="J3" s="13"/>
    </row>
    <row r="4" spans="1:12" x14ac:dyDescent="0.35">
      <c r="A4" s="276"/>
      <c r="B4" s="277"/>
      <c r="C4" s="278"/>
      <c r="D4" s="278"/>
      <c r="E4" s="277"/>
      <c r="F4" s="277"/>
      <c r="G4" s="278"/>
      <c r="H4" s="278"/>
      <c r="J4" s="13"/>
    </row>
    <row r="5" spans="1:12" x14ac:dyDescent="0.35">
      <c r="A5" s="279"/>
      <c r="B5" s="280" t="s">
        <v>42</v>
      </c>
      <c r="C5" s="281" t="s">
        <v>43</v>
      </c>
      <c r="D5" s="280" t="s">
        <v>44</v>
      </c>
      <c r="E5" s="281" t="s">
        <v>45</v>
      </c>
      <c r="F5" s="280" t="s">
        <v>46</v>
      </c>
      <c r="G5" s="282" t="s">
        <v>47</v>
      </c>
      <c r="H5" s="280" t="s">
        <v>48</v>
      </c>
    </row>
    <row r="6" spans="1:12" ht="145.75" customHeight="1" x14ac:dyDescent="0.35">
      <c r="A6" s="283"/>
      <c r="B6" s="284" t="s">
        <v>49</v>
      </c>
      <c r="C6" s="285" t="s">
        <v>50</v>
      </c>
      <c r="D6" s="284" t="s">
        <v>51</v>
      </c>
      <c r="E6" s="285" t="s">
        <v>52</v>
      </c>
      <c r="F6" s="284" t="s">
        <v>53</v>
      </c>
      <c r="G6" s="286" t="s">
        <v>54</v>
      </c>
      <c r="H6" s="287" t="s">
        <v>55</v>
      </c>
    </row>
    <row r="7" spans="1:12" ht="96" customHeight="1" x14ac:dyDescent="0.35">
      <c r="A7" s="288"/>
      <c r="B7" s="289" t="s">
        <v>56</v>
      </c>
      <c r="C7" s="290" t="s">
        <v>57</v>
      </c>
      <c r="D7" s="291" t="s">
        <v>58</v>
      </c>
      <c r="E7" s="290" t="s">
        <v>59</v>
      </c>
      <c r="F7" s="292" t="s">
        <v>60</v>
      </c>
      <c r="G7" s="293" t="s">
        <v>61</v>
      </c>
      <c r="H7" s="292" t="s">
        <v>62</v>
      </c>
      <c r="J7" s="13"/>
    </row>
    <row r="8" spans="1:12" x14ac:dyDescent="0.35">
      <c r="A8" s="400" t="s">
        <v>63</v>
      </c>
      <c r="B8" s="294">
        <f>'Tab 2 - WTP Future + Current'!D59*1000</f>
        <v>128663442.1064512</v>
      </c>
      <c r="C8" s="295">
        <f>'Tab 5 - WTP Capacity '!D51</f>
        <v>285433.27845622768</v>
      </c>
      <c r="D8" s="296">
        <f>B8/C8</f>
        <v>450.76538658116647</v>
      </c>
      <c r="E8" s="297">
        <f>'Tab 5 - WTP Capacity '!E51</f>
        <v>179663.50744596566</v>
      </c>
      <c r="F8" s="294">
        <f>D8*E8</f>
        <v>80986090.388408989</v>
      </c>
      <c r="G8" s="298"/>
      <c r="H8" s="299"/>
    </row>
    <row r="9" spans="1:12" x14ac:dyDescent="0.35">
      <c r="A9" s="401"/>
      <c r="B9" s="294"/>
      <c r="C9" s="300"/>
      <c r="D9" s="301"/>
      <c r="E9" s="302"/>
      <c r="F9" s="301"/>
      <c r="G9" s="303"/>
      <c r="H9" s="304"/>
    </row>
    <row r="10" spans="1:12" ht="15" x14ac:dyDescent="0.4">
      <c r="A10" s="401" t="s">
        <v>64</v>
      </c>
      <c r="B10" s="305">
        <f>('Tab 2 - WTP Future + Current'!D33+'Tab 2 - WTP Future + Current'!D54)*1000</f>
        <v>412379131.77683413</v>
      </c>
      <c r="C10" s="306">
        <f>'Tab 5 - WTP Capacity '!D52</f>
        <v>672393.16239316238</v>
      </c>
      <c r="D10" s="307">
        <f>B10/C10</f>
        <v>613.30060274424295</v>
      </c>
      <c r="E10" s="308">
        <f>'Tab 5 - WTP Capacity '!E52</f>
        <v>672393.16239316238</v>
      </c>
      <c r="F10" s="309">
        <f>D10*E10</f>
        <v>412379131.77683413</v>
      </c>
      <c r="G10" s="303"/>
      <c r="H10" s="304"/>
    </row>
    <row r="11" spans="1:12" x14ac:dyDescent="0.35">
      <c r="A11" s="303"/>
      <c r="B11" s="294"/>
      <c r="C11" s="310"/>
      <c r="D11" s="311"/>
      <c r="E11" s="312"/>
      <c r="F11" s="294"/>
      <c r="G11" s="303"/>
      <c r="H11" s="304"/>
    </row>
    <row r="12" spans="1:12" x14ac:dyDescent="0.35">
      <c r="A12" s="313" t="s">
        <v>65</v>
      </c>
      <c r="B12" s="314">
        <f>B8+B10</f>
        <v>541042573.88328528</v>
      </c>
      <c r="C12" s="315">
        <f>C8+C10</f>
        <v>957826.44084939011</v>
      </c>
      <c r="D12" s="316"/>
      <c r="E12" s="315">
        <f>E8+E10</f>
        <v>852056.66983912804</v>
      </c>
      <c r="F12" s="314">
        <f>F8+F10</f>
        <v>493365222.16524315</v>
      </c>
      <c r="G12" s="317">
        <f>ROUNDDOWN(F12/E12,0)</f>
        <v>579</v>
      </c>
      <c r="H12" s="318">
        <f>G12*60</f>
        <v>34740</v>
      </c>
    </row>
    <row r="19" spans="1:5" x14ac:dyDescent="0.35">
      <c r="A19" s="239"/>
      <c r="B19" s="239"/>
      <c r="C19" s="239"/>
      <c r="D19" s="239"/>
      <c r="E19" s="239"/>
    </row>
  </sheetData>
  <pageMargins left="0.7" right="0.7" top="0.75" bottom="0.75" header="0.3" footer="0.3"/>
  <pageSetup scale="58" orientation="landscape"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D3726C-E6C6-402C-AB40-309E9051B182}">
  <sheetPr>
    <pageSetUpPr fitToPage="1"/>
  </sheetPr>
  <dimension ref="A1:BH63"/>
  <sheetViews>
    <sheetView showGridLines="0" zoomScaleNormal="100" workbookViewId="0">
      <selection activeCell="B3" sqref="B3:Q3"/>
    </sheetView>
  </sheetViews>
  <sheetFormatPr defaultColWidth="9.1796875" defaultRowHeight="11.5" outlineLevelCol="2" x14ac:dyDescent="0.25"/>
  <cols>
    <col min="1" max="1" width="1.54296875" style="16" customWidth="1"/>
    <col min="2" max="2" width="56.1796875" style="30" customWidth="1"/>
    <col min="3" max="3" width="21" style="30" customWidth="1"/>
    <col min="4" max="4" width="15" style="30" bestFit="1" customWidth="1"/>
    <col min="5" max="6" width="15.54296875" style="30" customWidth="1"/>
    <col min="7" max="7" width="14.54296875" style="30" customWidth="1"/>
    <col min="8" max="8" width="14" style="30" customWidth="1"/>
    <col min="9" max="10" width="14.453125" style="30" bestFit="1" customWidth="1"/>
    <col min="11" max="11" width="14.54296875" style="30" customWidth="1"/>
    <col min="12" max="16" width="14.453125" style="30" bestFit="1" customWidth="1"/>
    <col min="17" max="17" width="14.453125" style="30" customWidth="1"/>
    <col min="18" max="18" width="17" style="30" customWidth="1" outlineLevel="1"/>
    <col min="19" max="22" width="14.453125" style="30" customWidth="1" outlineLevel="1"/>
    <col min="23" max="23" width="14.54296875" style="30" customWidth="1" outlineLevel="1"/>
    <col min="24" max="24" width="15.453125" style="30" customWidth="1" outlineLevel="1"/>
    <col min="25" max="27" width="14.453125" style="30" customWidth="1" outlineLevel="1"/>
    <col min="28" max="28" width="14.453125" style="30" customWidth="1" outlineLevel="2"/>
    <col min="29" max="29" width="15.453125" style="30" customWidth="1" outlineLevel="2"/>
    <col min="30" max="30" width="14.453125" style="30" customWidth="1" outlineLevel="2"/>
    <col min="31" max="31" width="14.54296875" style="30" customWidth="1" outlineLevel="2"/>
    <col min="32" max="32" width="14.1796875" style="30" customWidth="1" outlineLevel="2"/>
    <col min="33" max="33" width="13" style="30" customWidth="1"/>
    <col min="34" max="34" width="8" style="30" bestFit="1" customWidth="1"/>
    <col min="35" max="35" width="8.453125" style="30" customWidth="1"/>
    <col min="36" max="36" width="13.54296875" style="30" customWidth="1"/>
    <col min="37" max="37" width="11.54296875" style="30" customWidth="1"/>
    <col min="38" max="38" width="13.54296875" style="30" customWidth="1"/>
    <col min="39" max="39" width="13" style="30" customWidth="1"/>
    <col min="40" max="40" width="8" style="30" bestFit="1" customWidth="1"/>
    <col min="41" max="41" width="8.453125" style="30" customWidth="1"/>
    <col min="42" max="42" width="13.54296875" style="30" customWidth="1"/>
    <col min="43" max="43" width="11.54296875" style="30" customWidth="1"/>
    <col min="44" max="44" width="13.54296875" style="30" customWidth="1"/>
    <col min="45" max="45" width="13" style="30" customWidth="1"/>
    <col min="46" max="46" width="8" style="30" bestFit="1" customWidth="1"/>
    <col min="47" max="47" width="8.453125" style="30" customWidth="1"/>
    <col min="48" max="48" width="13.54296875" style="30" customWidth="1"/>
    <col min="49" max="49" width="11.54296875" style="30" customWidth="1"/>
    <col min="50" max="50" width="13.54296875" style="30" customWidth="1"/>
    <col min="51" max="51" width="13" style="30" customWidth="1"/>
    <col min="52" max="52" width="8" style="30" bestFit="1" customWidth="1"/>
    <col min="53" max="53" width="8.453125" style="30" customWidth="1"/>
    <col min="54" max="54" width="13.54296875" style="30" customWidth="1"/>
    <col min="55" max="55" width="11.54296875" style="30" customWidth="1"/>
    <col min="56" max="56" width="13.54296875" style="30" customWidth="1"/>
    <col min="57" max="57" width="13" style="30" customWidth="1"/>
    <col min="58" max="16384" width="9.1796875" style="30"/>
  </cols>
  <sheetData>
    <row r="1" spans="2:33" ht="15.5" x14ac:dyDescent="0.35">
      <c r="B1" s="183" t="s">
        <v>66</v>
      </c>
    </row>
    <row r="2" spans="2:33" ht="8.25" customHeight="1" x14ac:dyDescent="0.35">
      <c r="B2" s="183"/>
    </row>
    <row r="3" spans="2:33" ht="24.65" customHeight="1" x14ac:dyDescent="0.25">
      <c r="B3" s="539" t="s">
        <v>67</v>
      </c>
      <c r="C3" s="539"/>
      <c r="D3" s="539"/>
      <c r="E3" s="539"/>
      <c r="F3" s="539"/>
      <c r="G3" s="539"/>
      <c r="H3" s="539"/>
      <c r="I3" s="539"/>
      <c r="J3" s="539"/>
      <c r="K3" s="539"/>
      <c r="L3" s="539"/>
      <c r="M3" s="539"/>
      <c r="N3" s="539"/>
      <c r="O3" s="539"/>
      <c r="P3" s="539"/>
      <c r="Q3" s="539"/>
    </row>
    <row r="4" spans="2:33" x14ac:dyDescent="0.25">
      <c r="K4" s="31"/>
      <c r="L4" s="31"/>
      <c r="M4" s="31"/>
      <c r="N4" s="31"/>
      <c r="O4" s="31"/>
      <c r="P4" s="31"/>
    </row>
    <row r="5" spans="2:33" x14ac:dyDescent="0.25">
      <c r="B5" s="32" t="s">
        <v>68</v>
      </c>
      <c r="C5" s="33"/>
      <c r="D5" s="34"/>
      <c r="E5" s="34"/>
      <c r="F5" s="34"/>
      <c r="G5" s="34"/>
      <c r="H5" s="35"/>
      <c r="I5" s="35"/>
      <c r="J5" s="35"/>
      <c r="K5" s="35"/>
      <c r="L5" s="35"/>
      <c r="M5" s="35"/>
      <c r="N5" s="35"/>
      <c r="O5" s="35"/>
      <c r="P5" s="35"/>
      <c r="Q5" s="34"/>
      <c r="R5" s="34"/>
      <c r="S5" s="34"/>
      <c r="T5" s="34"/>
      <c r="U5" s="34"/>
      <c r="V5" s="34"/>
      <c r="W5" s="34"/>
      <c r="X5" s="34"/>
      <c r="Y5" s="34"/>
      <c r="Z5" s="34"/>
      <c r="AA5" s="34"/>
      <c r="AB5" s="34"/>
      <c r="AC5" s="34"/>
      <c r="AD5" s="34"/>
      <c r="AE5" s="34"/>
      <c r="AF5" s="36"/>
    </row>
    <row r="6" spans="2:33" x14ac:dyDescent="0.25">
      <c r="B6" s="39"/>
      <c r="C6" s="187" t="s">
        <v>69</v>
      </c>
      <c r="D6" s="537"/>
      <c r="E6" s="538"/>
      <c r="F6" s="41" t="s">
        <v>70</v>
      </c>
      <c r="G6" s="41">
        <v>2024</v>
      </c>
      <c r="H6" s="42">
        <f t="shared" ref="H6:Y6" si="0">+G6+1</f>
        <v>2025</v>
      </c>
      <c r="I6" s="42">
        <f t="shared" si="0"/>
        <v>2026</v>
      </c>
      <c r="J6" s="42">
        <f t="shared" si="0"/>
        <v>2027</v>
      </c>
      <c r="K6" s="42">
        <f t="shared" si="0"/>
        <v>2028</v>
      </c>
      <c r="L6" s="42">
        <f t="shared" si="0"/>
        <v>2029</v>
      </c>
      <c r="M6" s="42">
        <f t="shared" si="0"/>
        <v>2030</v>
      </c>
      <c r="N6" s="42">
        <f t="shared" si="0"/>
        <v>2031</v>
      </c>
      <c r="O6" s="42">
        <f t="shared" si="0"/>
        <v>2032</v>
      </c>
      <c r="P6" s="42">
        <f t="shared" si="0"/>
        <v>2033</v>
      </c>
      <c r="Q6" s="42">
        <f t="shared" si="0"/>
        <v>2034</v>
      </c>
      <c r="R6" s="42">
        <f t="shared" si="0"/>
        <v>2035</v>
      </c>
      <c r="S6" s="42">
        <f t="shared" si="0"/>
        <v>2036</v>
      </c>
      <c r="T6" s="42">
        <f t="shared" si="0"/>
        <v>2037</v>
      </c>
      <c r="U6" s="42">
        <f t="shared" si="0"/>
        <v>2038</v>
      </c>
      <c r="V6" s="42">
        <f t="shared" si="0"/>
        <v>2039</v>
      </c>
      <c r="W6" s="42">
        <f t="shared" si="0"/>
        <v>2040</v>
      </c>
      <c r="X6" s="42">
        <f t="shared" si="0"/>
        <v>2041</v>
      </c>
      <c r="Y6" s="42">
        <f t="shared" si="0"/>
        <v>2042</v>
      </c>
      <c r="Z6" s="42">
        <f t="shared" ref="Z6" si="1">+Y6+1</f>
        <v>2043</v>
      </c>
      <c r="AA6" s="42">
        <f t="shared" ref="AA6" si="2">+Z6+1</f>
        <v>2044</v>
      </c>
      <c r="AB6" s="42">
        <f t="shared" ref="AB6" si="3">+AA6+1</f>
        <v>2045</v>
      </c>
      <c r="AC6" s="42">
        <f t="shared" ref="AC6" si="4">+AB6+1</f>
        <v>2046</v>
      </c>
      <c r="AD6" s="42">
        <f t="shared" ref="AD6" si="5">+AC6+1</f>
        <v>2047</v>
      </c>
      <c r="AE6" s="42">
        <f t="shared" ref="AE6" si="6">+AD6+1</f>
        <v>2048</v>
      </c>
      <c r="AF6" s="43">
        <f t="shared" ref="AF6" si="7">+AE6+1</f>
        <v>2049</v>
      </c>
    </row>
    <row r="7" spans="2:33" x14ac:dyDescent="0.25">
      <c r="B7" s="80"/>
      <c r="C7" s="81"/>
      <c r="D7" s="81"/>
      <c r="E7" s="81"/>
      <c r="F7" s="81"/>
      <c r="G7" s="81"/>
      <c r="H7" s="81"/>
      <c r="I7" s="81"/>
      <c r="J7" s="81"/>
      <c r="K7" s="81"/>
      <c r="L7" s="81"/>
      <c r="M7" s="81"/>
      <c r="N7" s="81"/>
      <c r="O7" s="81"/>
      <c r="P7" s="81"/>
      <c r="Q7" s="81"/>
      <c r="R7" s="81"/>
      <c r="S7" s="81"/>
      <c r="T7" s="81"/>
      <c r="U7" s="81"/>
      <c r="V7" s="81"/>
      <c r="W7" s="81"/>
      <c r="X7" s="81"/>
      <c r="Y7" s="81"/>
      <c r="Z7" s="81"/>
      <c r="AA7" s="81"/>
      <c r="AB7" s="81"/>
      <c r="AC7" s="81"/>
      <c r="AD7" s="81"/>
      <c r="AE7" s="81"/>
      <c r="AF7" s="82"/>
    </row>
    <row r="8" spans="2:33" x14ac:dyDescent="0.25">
      <c r="B8" s="179" t="s">
        <v>71</v>
      </c>
      <c r="C8" s="180">
        <f>SUM(D8:AD8)</f>
        <v>478905.70039605023</v>
      </c>
      <c r="D8" s="180"/>
      <c r="E8" s="180"/>
      <c r="F8" s="184"/>
      <c r="G8" s="185">
        <f>+G9+G10</f>
        <v>6340.7576760502279</v>
      </c>
      <c r="H8" s="185">
        <f t="shared" ref="H8:O8" si="8">+H9+H10</f>
        <v>13777.104640000001</v>
      </c>
      <c r="I8" s="185">
        <f t="shared" si="8"/>
        <v>14000.638080000001</v>
      </c>
      <c r="J8" s="185">
        <f t="shared" si="8"/>
        <v>9266.4</v>
      </c>
      <c r="K8" s="185">
        <f t="shared" si="8"/>
        <v>9266.4</v>
      </c>
      <c r="L8" s="185">
        <f t="shared" si="8"/>
        <v>9266.4</v>
      </c>
      <c r="M8" s="185">
        <f t="shared" si="8"/>
        <v>83397.600000000006</v>
      </c>
      <c r="N8" s="185">
        <f t="shared" si="8"/>
        <v>83397.600000000006</v>
      </c>
      <c r="O8" s="185">
        <f t="shared" si="8"/>
        <v>83397.600000000006</v>
      </c>
      <c r="P8" s="185">
        <f>+P9+P10</f>
        <v>83397.600000000006</v>
      </c>
      <c r="Q8" s="185">
        <f t="shared" ref="Q8:AF8" si="9">+Q9+Q10</f>
        <v>83397.600000000006</v>
      </c>
      <c r="R8" s="185">
        <f t="shared" si="9"/>
        <v>0</v>
      </c>
      <c r="S8" s="185">
        <f t="shared" si="9"/>
        <v>0</v>
      </c>
      <c r="T8" s="185">
        <v>0</v>
      </c>
      <c r="U8" s="185">
        <f t="shared" si="9"/>
        <v>0</v>
      </c>
      <c r="V8" s="185">
        <f t="shared" si="9"/>
        <v>0</v>
      </c>
      <c r="W8" s="185">
        <f t="shared" si="9"/>
        <v>0</v>
      </c>
      <c r="X8" s="185">
        <f t="shared" si="9"/>
        <v>0</v>
      </c>
      <c r="Y8" s="185">
        <f t="shared" si="9"/>
        <v>0</v>
      </c>
      <c r="Z8" s="185">
        <f t="shared" si="9"/>
        <v>0</v>
      </c>
      <c r="AA8" s="185">
        <f t="shared" si="9"/>
        <v>0</v>
      </c>
      <c r="AB8" s="185">
        <f t="shared" si="9"/>
        <v>0</v>
      </c>
      <c r="AC8" s="185">
        <f t="shared" si="9"/>
        <v>0</v>
      </c>
      <c r="AD8" s="185">
        <f t="shared" si="9"/>
        <v>0</v>
      </c>
      <c r="AE8" s="185">
        <f t="shared" si="9"/>
        <v>0</v>
      </c>
      <c r="AF8" s="191">
        <f t="shared" si="9"/>
        <v>0</v>
      </c>
      <c r="AG8" s="48"/>
    </row>
    <row r="9" spans="2:33" x14ac:dyDescent="0.25">
      <c r="B9" s="44" t="s">
        <v>72</v>
      </c>
      <c r="C9" s="48">
        <f>SUM(D9:AD9)</f>
        <v>0</v>
      </c>
      <c r="D9" s="48"/>
      <c r="E9" s="48"/>
      <c r="F9" s="48"/>
      <c r="G9" s="48">
        <v>0</v>
      </c>
      <c r="H9" s="48">
        <v>0</v>
      </c>
      <c r="I9" s="48">
        <v>0</v>
      </c>
      <c r="J9" s="48">
        <v>0</v>
      </c>
      <c r="K9" s="48">
        <v>0</v>
      </c>
      <c r="L9" s="48">
        <v>0</v>
      </c>
      <c r="M9" s="48">
        <v>0</v>
      </c>
      <c r="N9" s="48">
        <v>0</v>
      </c>
      <c r="O9" s="48">
        <v>0</v>
      </c>
      <c r="P9" s="48">
        <v>0</v>
      </c>
      <c r="Q9" s="48">
        <v>0</v>
      </c>
      <c r="R9" s="48">
        <v>0</v>
      </c>
      <c r="S9" s="48">
        <v>0</v>
      </c>
      <c r="T9" s="48">
        <v>0</v>
      </c>
      <c r="U9" s="48">
        <v>0</v>
      </c>
      <c r="V9" s="48">
        <v>0</v>
      </c>
      <c r="W9" s="48">
        <v>0</v>
      </c>
      <c r="X9" s="48">
        <v>0</v>
      </c>
      <c r="Y9" s="48">
        <v>0</v>
      </c>
      <c r="Z9" s="48">
        <v>0</v>
      </c>
      <c r="AA9" s="48">
        <v>0</v>
      </c>
      <c r="AB9" s="48">
        <v>0</v>
      </c>
      <c r="AC9" s="48">
        <v>0</v>
      </c>
      <c r="AD9" s="48">
        <v>0</v>
      </c>
      <c r="AE9" s="48">
        <v>0</v>
      </c>
      <c r="AF9" s="47">
        <v>0</v>
      </c>
      <c r="AG9" s="48"/>
    </row>
    <row r="10" spans="2:33" x14ac:dyDescent="0.25">
      <c r="B10" s="72" t="s">
        <v>73</v>
      </c>
      <c r="C10" s="54">
        <f>SUM(D10:AD10)</f>
        <v>478905.70039605023</v>
      </c>
      <c r="D10" s="54"/>
      <c r="E10" s="54"/>
      <c r="F10" s="54"/>
      <c r="G10" s="54">
        <f>SUM('Tab 4 - WTP Capital '!AC16:AK16)-SUM('Tab 3 - WTP Historic '!U18:AB18)</f>
        <v>6340.7576760502279</v>
      </c>
      <c r="H10" s="54">
        <f>'Tab 4 - WTP Capital '!AL16</f>
        <v>13777.104640000001</v>
      </c>
      <c r="I10" s="54">
        <f>'Tab 4 - WTP Capital '!AM16</f>
        <v>14000.638080000001</v>
      </c>
      <c r="J10" s="54">
        <f>'Tab 4 - WTP Capital '!AN16</f>
        <v>9266.4</v>
      </c>
      <c r="K10" s="54">
        <f>'Tab 4 - WTP Capital '!AO16</f>
        <v>9266.4</v>
      </c>
      <c r="L10" s="54">
        <f>'Tab 4 - WTP Capital '!AP16</f>
        <v>9266.4</v>
      </c>
      <c r="M10" s="54">
        <f>'Tab 4 - WTP Capital '!AQ16</f>
        <v>83397.600000000006</v>
      </c>
      <c r="N10" s="54">
        <f>'Tab 4 - WTP Capital '!AR16</f>
        <v>83397.600000000006</v>
      </c>
      <c r="O10" s="54">
        <f>'Tab 4 - WTP Capital '!AS16</f>
        <v>83397.600000000006</v>
      </c>
      <c r="P10" s="54">
        <f>'Tab 4 - WTP Capital '!AT16</f>
        <v>83397.600000000006</v>
      </c>
      <c r="Q10" s="54">
        <f>'Tab 4 - WTP Capital '!AU16</f>
        <v>83397.600000000006</v>
      </c>
      <c r="R10" s="54">
        <v>0</v>
      </c>
      <c r="S10" s="54">
        <v>0</v>
      </c>
      <c r="T10" s="54">
        <v>0</v>
      </c>
      <c r="U10" s="54">
        <v>0</v>
      </c>
      <c r="V10" s="54">
        <v>0</v>
      </c>
      <c r="W10" s="54">
        <v>0</v>
      </c>
      <c r="X10" s="54">
        <v>0</v>
      </c>
      <c r="Y10" s="54">
        <v>0</v>
      </c>
      <c r="Z10" s="54">
        <v>0</v>
      </c>
      <c r="AA10" s="54">
        <v>0</v>
      </c>
      <c r="AB10" s="54">
        <v>0</v>
      </c>
      <c r="AC10" s="54">
        <v>0</v>
      </c>
      <c r="AD10" s="54">
        <v>0</v>
      </c>
      <c r="AE10" s="54">
        <v>0</v>
      </c>
      <c r="AF10" s="531">
        <v>0</v>
      </c>
    </row>
    <row r="11" spans="2:33" x14ac:dyDescent="0.25">
      <c r="F11" s="48"/>
      <c r="G11" s="48"/>
      <c r="H11" s="48"/>
      <c r="I11" s="48"/>
      <c r="J11" s="48"/>
      <c r="K11" s="48"/>
      <c r="L11" s="48"/>
      <c r="M11" s="48"/>
      <c r="N11" s="48"/>
      <c r="O11" s="48"/>
      <c r="P11" s="48"/>
      <c r="Q11" s="48"/>
      <c r="R11" s="48"/>
      <c r="S11" s="48"/>
      <c r="T11" s="48"/>
      <c r="U11" s="48"/>
      <c r="V11" s="48"/>
      <c r="W11" s="48"/>
      <c r="X11" s="48"/>
      <c r="Y11" s="48"/>
      <c r="Z11" s="48"/>
      <c r="AA11" s="48"/>
      <c r="AB11" s="48"/>
      <c r="AC11" s="48"/>
      <c r="AD11" s="48"/>
      <c r="AE11" s="48"/>
      <c r="AF11" s="48"/>
    </row>
    <row r="12" spans="2:33" x14ac:dyDescent="0.25">
      <c r="B12" s="186" t="s">
        <v>74</v>
      </c>
      <c r="C12" s="40"/>
      <c r="D12" s="40"/>
      <c r="E12" s="40"/>
      <c r="F12" s="187" t="str">
        <f>F6</f>
        <v>2023 &amp; Prior</v>
      </c>
      <c r="G12" s="41">
        <f>G6</f>
        <v>2024</v>
      </c>
      <c r="H12" s="42">
        <f t="shared" ref="H12" si="10">+G12+1</f>
        <v>2025</v>
      </c>
      <c r="I12" s="42">
        <f t="shared" ref="I12" si="11">+H12+1</f>
        <v>2026</v>
      </c>
      <c r="J12" s="42">
        <f t="shared" ref="J12" si="12">+I12+1</f>
        <v>2027</v>
      </c>
      <c r="K12" s="42">
        <f t="shared" ref="K12" si="13">+J12+1</f>
        <v>2028</v>
      </c>
      <c r="L12" s="42">
        <f t="shared" ref="L12" si="14">+K12+1</f>
        <v>2029</v>
      </c>
      <c r="M12" s="42">
        <f t="shared" ref="M12" si="15">+L12+1</f>
        <v>2030</v>
      </c>
      <c r="N12" s="42">
        <f t="shared" ref="N12" si="16">+M12+1</f>
        <v>2031</v>
      </c>
      <c r="O12" s="42">
        <f t="shared" ref="O12" si="17">+N12+1</f>
        <v>2032</v>
      </c>
      <c r="P12" s="42">
        <f t="shared" ref="P12" si="18">+O12+1</f>
        <v>2033</v>
      </c>
      <c r="Q12" s="42">
        <f t="shared" ref="Q12" si="19">+P12+1</f>
        <v>2034</v>
      </c>
      <c r="R12" s="42">
        <f t="shared" ref="R12" si="20">+Q12+1</f>
        <v>2035</v>
      </c>
      <c r="S12" s="42">
        <f t="shared" ref="S12" si="21">+R12+1</f>
        <v>2036</v>
      </c>
      <c r="T12" s="42">
        <f t="shared" ref="T12" si="22">+S12+1</f>
        <v>2037</v>
      </c>
      <c r="U12" s="42">
        <f t="shared" ref="U12" si="23">+T12+1</f>
        <v>2038</v>
      </c>
      <c r="V12" s="42">
        <f t="shared" ref="V12" si="24">+U12+1</f>
        <v>2039</v>
      </c>
      <c r="W12" s="42">
        <f t="shared" ref="W12" si="25">+V12+1</f>
        <v>2040</v>
      </c>
      <c r="X12" s="42">
        <f t="shared" ref="X12" si="26">+W12+1</f>
        <v>2041</v>
      </c>
      <c r="Y12" s="42">
        <f t="shared" ref="Y12" si="27">+X12+1</f>
        <v>2042</v>
      </c>
      <c r="Z12" s="42">
        <f t="shared" ref="Z12" si="28">+Y12+1</f>
        <v>2043</v>
      </c>
      <c r="AA12" s="42">
        <f t="shared" ref="AA12" si="29">+Z12+1</f>
        <v>2044</v>
      </c>
      <c r="AB12" s="42">
        <f t="shared" ref="AB12" si="30">+AA12+1</f>
        <v>2045</v>
      </c>
      <c r="AC12" s="42">
        <f t="shared" ref="AC12" si="31">+AB12+1</f>
        <v>2046</v>
      </c>
      <c r="AD12" s="42">
        <f t="shared" ref="AD12" si="32">+AC12+1</f>
        <v>2047</v>
      </c>
      <c r="AE12" s="42">
        <f t="shared" ref="AE12" si="33">+AD12+1</f>
        <v>2048</v>
      </c>
      <c r="AF12" s="43">
        <f t="shared" ref="AF12" si="34">+AE12+1</f>
        <v>2049</v>
      </c>
    </row>
    <row r="13" spans="2:33" x14ac:dyDescent="0.25">
      <c r="B13" s="44" t="s">
        <v>75</v>
      </c>
      <c r="F13" s="49"/>
      <c r="G13" s="49">
        <v>10</v>
      </c>
      <c r="H13" s="49">
        <v>10</v>
      </c>
      <c r="I13" s="49">
        <v>10</v>
      </c>
      <c r="J13" s="49">
        <v>10</v>
      </c>
      <c r="K13" s="49">
        <v>10</v>
      </c>
      <c r="L13" s="49">
        <v>10</v>
      </c>
      <c r="M13" s="49">
        <v>10</v>
      </c>
      <c r="N13" s="49">
        <v>10</v>
      </c>
      <c r="O13" s="49">
        <v>10</v>
      </c>
      <c r="P13" s="49">
        <v>10</v>
      </c>
      <c r="Q13" s="49">
        <v>10</v>
      </c>
      <c r="R13" s="49">
        <v>10</v>
      </c>
      <c r="S13" s="49">
        <v>10</v>
      </c>
      <c r="T13" s="49">
        <v>10</v>
      </c>
      <c r="U13" s="49">
        <v>10</v>
      </c>
      <c r="AF13" s="45"/>
    </row>
    <row r="14" spans="2:33" x14ac:dyDescent="0.25">
      <c r="B14" s="44" t="s">
        <v>76</v>
      </c>
      <c r="F14" s="50"/>
      <c r="G14" s="529">
        <f>'Tab 7 - WWTP Future + Current'!G12</f>
        <v>4.9702142857142854E-2</v>
      </c>
      <c r="H14" s="529">
        <f>'Tab 7 - WWTP Future + Current'!H12</f>
        <v>4.9176142857142856E-2</v>
      </c>
      <c r="I14" s="529">
        <f>'Tab 7 - WWTP Future + Current'!I12</f>
        <v>4.9727142857142859E-2</v>
      </c>
      <c r="J14" s="529">
        <f>'Tab 7 - WWTP Future + Current'!J12</f>
        <v>5.0935142857142852E-2</v>
      </c>
      <c r="K14" s="529">
        <f>'Tab 7 - WWTP Future + Current'!K12</f>
        <v>5.2664142857142854E-2</v>
      </c>
      <c r="L14" s="529">
        <f>'Tab 7 - WWTP Future + Current'!L12</f>
        <v>5.3821142857142859E-2</v>
      </c>
      <c r="M14" s="529">
        <f>'Tab 7 - WWTP Future + Current'!M12</f>
        <v>5.4979142857142858E-2</v>
      </c>
      <c r="N14" s="529">
        <f>'Tab 7 - WWTP Future + Current'!N12</f>
        <v>5.5651142857142857E-2</v>
      </c>
      <c r="O14" s="529">
        <f>'Tab 7 - WWTP Future + Current'!O12</f>
        <v>5.6246142857142856E-2</v>
      </c>
      <c r="P14" s="529">
        <f>'Tab 7 - WWTP Future + Current'!P12</f>
        <v>5.678514285714286E-2</v>
      </c>
      <c r="Q14" s="529">
        <f>'Tab 7 - WWTP Future + Current'!Q12</f>
        <v>5.6747142857142857E-2</v>
      </c>
      <c r="R14" s="529">
        <f>'Tab 7 - WWTP Future + Current'!R12</f>
        <v>5.6709142857142861E-2</v>
      </c>
      <c r="S14" s="529">
        <f>'Tab 7 - WWTP Future + Current'!S12</f>
        <v>5.6671142857142857E-2</v>
      </c>
      <c r="T14" s="529">
        <f>'Tab 7 - WWTP Future + Current'!T12</f>
        <v>5.6633142857142854E-2</v>
      </c>
      <c r="U14" s="529">
        <f>'Tab 7 - WWTP Future + Current'!U12</f>
        <v>5.557014285714286E-2</v>
      </c>
      <c r="AF14" s="45"/>
    </row>
    <row r="15" spans="2:33" x14ac:dyDescent="0.25">
      <c r="B15" s="44" t="s">
        <v>77</v>
      </c>
      <c r="E15" s="48"/>
      <c r="G15" s="207"/>
      <c r="H15" s="207"/>
      <c r="I15" s="207"/>
      <c r="J15" s="207"/>
      <c r="K15" s="207"/>
      <c r="L15" s="207"/>
      <c r="M15" s="207"/>
      <c r="N15" s="207"/>
      <c r="O15" s="207"/>
      <c r="P15" s="207"/>
      <c r="Q15" s="207"/>
      <c r="R15" s="207"/>
      <c r="S15" s="207"/>
      <c r="T15" s="207"/>
      <c r="U15" s="207"/>
      <c r="AF15" s="45"/>
    </row>
    <row r="16" spans="2:33" x14ac:dyDescent="0.25">
      <c r="B16" s="44" t="s">
        <v>78</v>
      </c>
      <c r="G16" s="48"/>
      <c r="H16" s="48"/>
      <c r="I16" s="48"/>
      <c r="J16" s="48"/>
      <c r="K16" s="48"/>
      <c r="L16" s="48"/>
      <c r="M16" s="48"/>
      <c r="N16" s="48"/>
      <c r="O16" s="48"/>
      <c r="P16" s="48"/>
      <c r="AF16" s="45"/>
    </row>
    <row r="17" spans="2:60" x14ac:dyDescent="0.25">
      <c r="B17" s="52" t="s">
        <v>79</v>
      </c>
      <c r="C17" s="53"/>
      <c r="D17" s="53"/>
      <c r="E17" s="53"/>
      <c r="F17" s="53"/>
      <c r="G17" s="532">
        <v>3.5799999999999998E-2</v>
      </c>
      <c r="H17" s="54"/>
      <c r="I17" s="54"/>
      <c r="J17" s="54"/>
      <c r="K17" s="54"/>
      <c r="L17" s="54"/>
      <c r="M17" s="54"/>
      <c r="N17" s="54"/>
      <c r="O17" s="54"/>
      <c r="P17" s="55"/>
      <c r="Q17" s="55"/>
      <c r="R17" s="55"/>
      <c r="S17" s="55"/>
      <c r="T17" s="55"/>
      <c r="U17" s="55"/>
      <c r="V17" s="55"/>
      <c r="W17" s="55"/>
      <c r="X17" s="55"/>
      <c r="Y17" s="55"/>
      <c r="Z17" s="55"/>
      <c r="AA17" s="55"/>
      <c r="AB17" s="55"/>
      <c r="AC17" s="55"/>
      <c r="AD17" s="55"/>
      <c r="AE17" s="55"/>
      <c r="AF17" s="56"/>
    </row>
    <row r="18" spans="2:60" x14ac:dyDescent="0.25">
      <c r="F18" s="48"/>
    </row>
    <row r="19" spans="2:60" x14ac:dyDescent="0.25">
      <c r="B19" s="57" t="s">
        <v>80</v>
      </c>
      <c r="C19" s="58"/>
      <c r="D19" s="34"/>
      <c r="E19" s="34"/>
      <c r="F19" s="34"/>
      <c r="G19" s="34"/>
      <c r="H19" s="59"/>
      <c r="I19" s="59"/>
      <c r="J19" s="59"/>
      <c r="K19" s="59"/>
      <c r="L19" s="59"/>
      <c r="M19" s="59"/>
      <c r="N19" s="59"/>
      <c r="O19" s="59"/>
      <c r="P19" s="59"/>
      <c r="Q19" s="59"/>
      <c r="R19" s="59"/>
      <c r="S19" s="59"/>
      <c r="T19" s="59"/>
      <c r="U19" s="59"/>
      <c r="V19" s="59"/>
      <c r="W19" s="59"/>
      <c r="X19" s="59"/>
      <c r="Y19" s="59"/>
      <c r="Z19" s="59"/>
      <c r="AA19" s="59"/>
      <c r="AB19" s="59"/>
      <c r="AC19" s="59"/>
      <c r="AD19" s="59"/>
      <c r="AE19" s="59"/>
      <c r="AF19" s="208"/>
      <c r="AH19" s="268"/>
      <c r="AI19" s="268"/>
      <c r="AJ19" s="268"/>
      <c r="AK19" s="268"/>
      <c r="AL19" s="268"/>
      <c r="AM19" s="268"/>
      <c r="AN19" s="268"/>
      <c r="AO19" s="268"/>
      <c r="AP19" s="268"/>
      <c r="AQ19" s="268"/>
      <c r="AR19" s="268"/>
      <c r="AS19" s="268"/>
      <c r="AT19" s="268"/>
      <c r="AU19" s="268"/>
      <c r="AV19" s="268"/>
      <c r="AW19" s="268"/>
      <c r="AX19" s="268"/>
      <c r="AY19" s="268"/>
      <c r="AZ19" s="268"/>
      <c r="BA19" s="268"/>
      <c r="BB19" s="268"/>
      <c r="BC19" s="268"/>
      <c r="BD19" s="268"/>
      <c r="BE19" s="268"/>
      <c r="BF19" s="268"/>
    </row>
    <row r="20" spans="2:60" ht="23" x14ac:dyDescent="0.25">
      <c r="B20" s="273" t="s">
        <v>81</v>
      </c>
      <c r="C20" s="190" t="s">
        <v>69</v>
      </c>
      <c r="D20" s="190" t="s">
        <v>82</v>
      </c>
      <c r="E20" s="190" t="s">
        <v>83</v>
      </c>
      <c r="F20" s="187" t="str">
        <f>F6</f>
        <v>2023 &amp; Prior</v>
      </c>
      <c r="G20" s="188">
        <f>G6</f>
        <v>2024</v>
      </c>
      <c r="H20" s="188">
        <f>+G20+1</f>
        <v>2025</v>
      </c>
      <c r="I20" s="188">
        <f t="shared" ref="I20:AF20" si="35">+H20+1</f>
        <v>2026</v>
      </c>
      <c r="J20" s="188">
        <f t="shared" si="35"/>
        <v>2027</v>
      </c>
      <c r="K20" s="188">
        <f t="shared" si="35"/>
        <v>2028</v>
      </c>
      <c r="L20" s="188">
        <f t="shared" si="35"/>
        <v>2029</v>
      </c>
      <c r="M20" s="188">
        <f t="shared" si="35"/>
        <v>2030</v>
      </c>
      <c r="N20" s="188">
        <f t="shared" si="35"/>
        <v>2031</v>
      </c>
      <c r="O20" s="188">
        <f t="shared" si="35"/>
        <v>2032</v>
      </c>
      <c r="P20" s="188">
        <f t="shared" si="35"/>
        <v>2033</v>
      </c>
      <c r="Q20" s="188">
        <f t="shared" si="35"/>
        <v>2034</v>
      </c>
      <c r="R20" s="188">
        <f t="shared" si="35"/>
        <v>2035</v>
      </c>
      <c r="S20" s="188">
        <f t="shared" si="35"/>
        <v>2036</v>
      </c>
      <c r="T20" s="188">
        <f t="shared" si="35"/>
        <v>2037</v>
      </c>
      <c r="U20" s="188">
        <f t="shared" si="35"/>
        <v>2038</v>
      </c>
      <c r="V20" s="188">
        <f t="shared" si="35"/>
        <v>2039</v>
      </c>
      <c r="W20" s="188">
        <f t="shared" si="35"/>
        <v>2040</v>
      </c>
      <c r="X20" s="188">
        <f t="shared" si="35"/>
        <v>2041</v>
      </c>
      <c r="Y20" s="188">
        <f t="shared" si="35"/>
        <v>2042</v>
      </c>
      <c r="Z20" s="188">
        <f t="shared" si="35"/>
        <v>2043</v>
      </c>
      <c r="AA20" s="188">
        <f t="shared" si="35"/>
        <v>2044</v>
      </c>
      <c r="AB20" s="188">
        <f t="shared" si="35"/>
        <v>2045</v>
      </c>
      <c r="AC20" s="188">
        <f t="shared" si="35"/>
        <v>2046</v>
      </c>
      <c r="AD20" s="188">
        <f t="shared" si="35"/>
        <v>2047</v>
      </c>
      <c r="AE20" s="188">
        <f t="shared" si="35"/>
        <v>2048</v>
      </c>
      <c r="AF20" s="193">
        <f t="shared" si="35"/>
        <v>2049</v>
      </c>
      <c r="AH20" s="269"/>
      <c r="AI20" s="269"/>
      <c r="AJ20" s="269"/>
      <c r="AK20" s="269"/>
      <c r="AL20" s="269"/>
      <c r="AM20" s="269"/>
      <c r="AN20" s="269"/>
      <c r="AO20" s="269"/>
      <c r="AP20" s="269"/>
      <c r="AQ20" s="269"/>
      <c r="AR20" s="269"/>
      <c r="AS20" s="269"/>
      <c r="AT20" s="269"/>
      <c r="AU20" s="269"/>
      <c r="AV20" s="269"/>
      <c r="AW20" s="269"/>
      <c r="AX20" s="269"/>
      <c r="AY20" s="269"/>
      <c r="AZ20" s="269"/>
      <c r="BA20" s="269"/>
      <c r="BB20" s="269"/>
      <c r="BC20" s="269"/>
      <c r="BD20" s="269"/>
      <c r="BE20" s="269"/>
      <c r="BF20" s="269"/>
    </row>
    <row r="21" spans="2:60" x14ac:dyDescent="0.25">
      <c r="B21" s="44"/>
      <c r="AF21" s="45"/>
    </row>
    <row r="22" spans="2:60" x14ac:dyDescent="0.25">
      <c r="B22" s="274">
        <v>2024</v>
      </c>
      <c r="C22" s="48">
        <v>0</v>
      </c>
      <c r="D22" s="48">
        <v>0</v>
      </c>
      <c r="E22" s="48">
        <v>0</v>
      </c>
      <c r="F22" s="48">
        <v>0</v>
      </c>
      <c r="G22" s="48">
        <f>AH22</f>
        <v>0</v>
      </c>
      <c r="H22" s="48">
        <f t="shared" ref="H22" si="36">AI22</f>
        <v>0</v>
      </c>
      <c r="I22" s="48">
        <f t="shared" ref="I22" si="37">AJ22</f>
        <v>0</v>
      </c>
      <c r="J22" s="48">
        <f t="shared" ref="J22" si="38">AK22</f>
        <v>0</v>
      </c>
      <c r="K22" s="48">
        <f t="shared" ref="K22" si="39">AL22</f>
        <v>0</v>
      </c>
      <c r="L22" s="48">
        <f t="shared" ref="L22" si="40">AM22</f>
        <v>0</v>
      </c>
      <c r="M22" s="48">
        <f t="shared" ref="M22" si="41">AN22</f>
        <v>0</v>
      </c>
      <c r="N22" s="48">
        <f t="shared" ref="N22" si="42">AO22</f>
        <v>0</v>
      </c>
      <c r="O22" s="48">
        <f t="shared" ref="O22" si="43">AP22</f>
        <v>0</v>
      </c>
      <c r="P22" s="48">
        <f t="shared" ref="P22" si="44">AQ22</f>
        <v>0</v>
      </c>
      <c r="Q22" s="48">
        <f t="shared" ref="Q22:Q30" si="45">SUM(AR22:BF22)</f>
        <v>0</v>
      </c>
      <c r="R22" s="48">
        <v>0</v>
      </c>
      <c r="S22" s="48">
        <v>0</v>
      </c>
      <c r="T22" s="48">
        <v>0</v>
      </c>
      <c r="U22" s="48">
        <v>0</v>
      </c>
      <c r="V22" s="48">
        <v>0</v>
      </c>
      <c r="W22" s="48">
        <v>0</v>
      </c>
      <c r="X22" s="48">
        <v>0</v>
      </c>
      <c r="Y22" s="48">
        <v>0</v>
      </c>
      <c r="Z22" s="48">
        <v>0</v>
      </c>
      <c r="AA22" s="48">
        <v>0</v>
      </c>
      <c r="AB22" s="48">
        <v>0</v>
      </c>
      <c r="AC22" s="48">
        <v>0</v>
      </c>
      <c r="AD22" s="48">
        <v>0</v>
      </c>
      <c r="AE22" s="48">
        <v>0</v>
      </c>
      <c r="AF22" s="47">
        <v>0</v>
      </c>
      <c r="AH22" s="62"/>
      <c r="AI22" s="62"/>
      <c r="AJ22" s="62"/>
      <c r="AK22" s="62"/>
      <c r="AL22" s="62"/>
      <c r="AM22" s="62"/>
      <c r="AN22" s="62"/>
      <c r="AO22" s="62"/>
      <c r="AP22" s="62"/>
      <c r="AQ22" s="62"/>
      <c r="AR22" s="62"/>
      <c r="AS22" s="62"/>
      <c r="AT22" s="62"/>
      <c r="AU22" s="62"/>
      <c r="AV22" s="62"/>
      <c r="AW22" s="62"/>
      <c r="AX22" s="62"/>
      <c r="AY22" s="62"/>
      <c r="AZ22" s="62"/>
      <c r="BA22" s="62"/>
      <c r="BB22" s="62"/>
      <c r="BC22" s="62"/>
      <c r="BD22" s="62"/>
      <c r="BE22" s="62"/>
      <c r="BF22" s="62"/>
      <c r="BG22" s="62"/>
      <c r="BH22" s="62"/>
    </row>
    <row r="23" spans="2:60" x14ac:dyDescent="0.25">
      <c r="B23" s="274">
        <v>2025</v>
      </c>
      <c r="C23" s="48">
        <f>+G9</f>
        <v>0</v>
      </c>
      <c r="D23" s="48">
        <f>NPV($G$17,H23:Q23)+F23+G23</f>
        <v>0</v>
      </c>
      <c r="E23" s="48">
        <f>SUM(F23:AA23)</f>
        <v>0</v>
      </c>
      <c r="F23" s="48">
        <v>0</v>
      </c>
      <c r="G23" s="48">
        <f>AH23</f>
        <v>0</v>
      </c>
      <c r="H23" s="48">
        <f t="shared" ref="H23:P23" si="46">AI23</f>
        <v>0</v>
      </c>
      <c r="I23" s="48">
        <f t="shared" si="46"/>
        <v>0</v>
      </c>
      <c r="J23" s="48">
        <f t="shared" si="46"/>
        <v>0</v>
      </c>
      <c r="K23" s="48">
        <f t="shared" si="46"/>
        <v>0</v>
      </c>
      <c r="L23" s="48">
        <f t="shared" si="46"/>
        <v>0</v>
      </c>
      <c r="M23" s="48">
        <f t="shared" si="46"/>
        <v>0</v>
      </c>
      <c r="N23" s="48">
        <f t="shared" si="46"/>
        <v>0</v>
      </c>
      <c r="O23" s="48">
        <f t="shared" si="46"/>
        <v>0</v>
      </c>
      <c r="P23" s="48">
        <f t="shared" si="46"/>
        <v>0</v>
      </c>
      <c r="Q23" s="48">
        <f t="shared" si="45"/>
        <v>0</v>
      </c>
      <c r="R23" s="48">
        <v>0</v>
      </c>
      <c r="S23" s="48">
        <v>0</v>
      </c>
      <c r="T23" s="48">
        <v>0</v>
      </c>
      <c r="U23" s="48">
        <v>0</v>
      </c>
      <c r="V23" s="48">
        <v>0</v>
      </c>
      <c r="W23" s="48">
        <v>0</v>
      </c>
      <c r="X23" s="48">
        <v>0</v>
      </c>
      <c r="Y23" s="48">
        <v>0</v>
      </c>
      <c r="Z23" s="48">
        <v>0</v>
      </c>
      <c r="AA23" s="48">
        <v>0</v>
      </c>
      <c r="AB23" s="48">
        <v>0</v>
      </c>
      <c r="AC23" s="48">
        <v>0</v>
      </c>
      <c r="AD23" s="48">
        <v>0</v>
      </c>
      <c r="AE23" s="48">
        <v>0</v>
      </c>
      <c r="AF23" s="47">
        <v>0</v>
      </c>
      <c r="AH23" s="62"/>
      <c r="AI23" s="62"/>
      <c r="AJ23" s="62"/>
      <c r="AK23" s="62"/>
      <c r="AL23" s="62"/>
      <c r="AM23" s="62"/>
      <c r="AN23" s="62"/>
      <c r="AO23" s="62"/>
      <c r="AP23" s="62"/>
      <c r="AQ23" s="62"/>
      <c r="AR23" s="62"/>
      <c r="AS23" s="62"/>
      <c r="AT23" s="62"/>
      <c r="AU23" s="62"/>
      <c r="AV23" s="62"/>
      <c r="AW23" s="62"/>
      <c r="AX23" s="62"/>
      <c r="AY23" s="62"/>
      <c r="AZ23" s="62"/>
      <c r="BA23" s="62"/>
      <c r="BB23" s="62"/>
      <c r="BC23" s="62"/>
      <c r="BD23" s="62"/>
      <c r="BE23" s="62"/>
      <c r="BF23" s="62"/>
      <c r="BG23" s="62"/>
      <c r="BH23" s="62"/>
    </row>
    <row r="24" spans="2:60" x14ac:dyDescent="0.25">
      <c r="B24" s="274">
        <v>2026</v>
      </c>
      <c r="C24" s="48">
        <f>+H9</f>
        <v>0</v>
      </c>
      <c r="D24" s="48">
        <f t="shared" ref="D24:D30" si="47">NPV($G$17,H24:Q24)+F24+G24</f>
        <v>0</v>
      </c>
      <c r="E24" s="48">
        <f t="shared" ref="E24:E30" si="48">SUM(F24:AA24)</f>
        <v>0</v>
      </c>
      <c r="F24" s="48">
        <v>0</v>
      </c>
      <c r="G24" s="48">
        <f t="shared" ref="G24:G30" si="49">AH24</f>
        <v>0</v>
      </c>
      <c r="H24" s="48">
        <f t="shared" ref="H24:H30" si="50">AI24</f>
        <v>0</v>
      </c>
      <c r="I24" s="48">
        <f t="shared" ref="I24:I30" si="51">AJ24</f>
        <v>0</v>
      </c>
      <c r="J24" s="48">
        <f t="shared" ref="J24:J30" si="52">AK24</f>
        <v>0</v>
      </c>
      <c r="K24" s="48">
        <f t="shared" ref="K24:K30" si="53">AL24</f>
        <v>0</v>
      </c>
      <c r="L24" s="48">
        <f t="shared" ref="L24:L30" si="54">AM24</f>
        <v>0</v>
      </c>
      <c r="M24" s="48">
        <f t="shared" ref="M24:M30" si="55">AN24</f>
        <v>0</v>
      </c>
      <c r="N24" s="48">
        <f t="shared" ref="N24:N30" si="56">AO24</f>
        <v>0</v>
      </c>
      <c r="O24" s="48">
        <f t="shared" ref="O24:O30" si="57">AP24</f>
        <v>0</v>
      </c>
      <c r="P24" s="48">
        <f t="shared" ref="P24:P30" si="58">AQ24</f>
        <v>0</v>
      </c>
      <c r="Q24" s="48">
        <f t="shared" si="45"/>
        <v>0</v>
      </c>
      <c r="R24" s="48">
        <v>0</v>
      </c>
      <c r="S24" s="48">
        <v>0</v>
      </c>
      <c r="T24" s="48">
        <v>0</v>
      </c>
      <c r="U24" s="48">
        <v>0</v>
      </c>
      <c r="V24" s="48">
        <v>0</v>
      </c>
      <c r="W24" s="48">
        <v>0</v>
      </c>
      <c r="X24" s="48">
        <v>0</v>
      </c>
      <c r="Y24" s="48">
        <v>0</v>
      </c>
      <c r="Z24" s="48">
        <v>0</v>
      </c>
      <c r="AA24" s="48">
        <v>0</v>
      </c>
      <c r="AB24" s="48">
        <v>0</v>
      </c>
      <c r="AC24" s="48">
        <v>0</v>
      </c>
      <c r="AD24" s="48">
        <v>0</v>
      </c>
      <c r="AE24" s="48">
        <v>0</v>
      </c>
      <c r="AF24" s="47">
        <v>0</v>
      </c>
      <c r="AH24" s="62"/>
      <c r="AI24" s="62"/>
      <c r="AJ24" s="62"/>
      <c r="AK24" s="62"/>
      <c r="AL24" s="62"/>
      <c r="AM24" s="62"/>
      <c r="AN24" s="62"/>
      <c r="AO24" s="62"/>
      <c r="AP24" s="62"/>
      <c r="AQ24" s="62"/>
      <c r="AR24" s="62"/>
      <c r="AS24" s="62"/>
      <c r="AT24" s="95"/>
      <c r="AU24" s="95"/>
      <c r="AV24" s="95"/>
      <c r="AW24" s="95"/>
      <c r="AX24" s="95"/>
      <c r="AY24" s="95"/>
      <c r="AZ24" s="95"/>
      <c r="BA24" s="95"/>
      <c r="BB24" s="95"/>
      <c r="BC24" s="95"/>
      <c r="BD24" s="95"/>
      <c r="BE24" s="95"/>
      <c r="BF24" s="95"/>
      <c r="BG24" s="62"/>
      <c r="BH24" s="62"/>
    </row>
    <row r="25" spans="2:60" x14ac:dyDescent="0.25">
      <c r="B25" s="274">
        <v>2027</v>
      </c>
      <c r="C25" s="48">
        <f>+I9</f>
        <v>0</v>
      </c>
      <c r="D25" s="48">
        <f t="shared" si="47"/>
        <v>0</v>
      </c>
      <c r="E25" s="48">
        <f t="shared" si="48"/>
        <v>0</v>
      </c>
      <c r="F25" s="48">
        <v>0</v>
      </c>
      <c r="G25" s="48">
        <f t="shared" si="49"/>
        <v>0</v>
      </c>
      <c r="H25" s="48">
        <f t="shared" si="50"/>
        <v>0</v>
      </c>
      <c r="I25" s="48">
        <f t="shared" si="51"/>
        <v>0</v>
      </c>
      <c r="J25" s="48">
        <f t="shared" si="52"/>
        <v>0</v>
      </c>
      <c r="K25" s="48">
        <f t="shared" si="53"/>
        <v>0</v>
      </c>
      <c r="L25" s="48">
        <f t="shared" si="54"/>
        <v>0</v>
      </c>
      <c r="M25" s="48">
        <f t="shared" si="55"/>
        <v>0</v>
      </c>
      <c r="N25" s="48">
        <f t="shared" si="56"/>
        <v>0</v>
      </c>
      <c r="O25" s="48">
        <f t="shared" si="57"/>
        <v>0</v>
      </c>
      <c r="P25" s="48">
        <f t="shared" si="58"/>
        <v>0</v>
      </c>
      <c r="Q25" s="48">
        <f t="shared" si="45"/>
        <v>0</v>
      </c>
      <c r="R25" s="48">
        <v>0</v>
      </c>
      <c r="S25" s="48">
        <v>0</v>
      </c>
      <c r="T25" s="48">
        <v>0</v>
      </c>
      <c r="U25" s="48">
        <v>0</v>
      </c>
      <c r="V25" s="48">
        <v>0</v>
      </c>
      <c r="W25" s="48">
        <v>0</v>
      </c>
      <c r="X25" s="48">
        <v>0</v>
      </c>
      <c r="Y25" s="48">
        <v>0</v>
      </c>
      <c r="Z25" s="48">
        <v>0</v>
      </c>
      <c r="AA25" s="48">
        <v>0</v>
      </c>
      <c r="AB25" s="48">
        <v>0</v>
      </c>
      <c r="AC25" s="48">
        <v>0</v>
      </c>
      <c r="AD25" s="48">
        <v>0</v>
      </c>
      <c r="AE25" s="48">
        <v>0</v>
      </c>
      <c r="AF25" s="47">
        <v>0</v>
      </c>
      <c r="AH25" s="62"/>
      <c r="AI25" s="62"/>
      <c r="AJ25" s="62"/>
      <c r="AK25" s="95"/>
      <c r="AL25" s="95"/>
      <c r="AM25" s="95"/>
      <c r="AN25" s="95"/>
      <c r="AO25" s="95"/>
      <c r="AP25" s="95"/>
      <c r="AQ25" s="95"/>
      <c r="AR25" s="95"/>
      <c r="AS25" s="95"/>
      <c r="AT25" s="95"/>
      <c r="AU25" s="95"/>
      <c r="AV25" s="95"/>
      <c r="AW25" s="95"/>
      <c r="AX25" s="95"/>
      <c r="AY25" s="95"/>
      <c r="AZ25" s="95"/>
      <c r="BA25" s="95"/>
      <c r="BB25" s="95"/>
      <c r="BC25" s="95"/>
      <c r="BD25" s="95"/>
      <c r="BE25" s="95"/>
      <c r="BF25" s="95"/>
      <c r="BG25" s="62"/>
      <c r="BH25" s="62"/>
    </row>
    <row r="26" spans="2:60" x14ac:dyDescent="0.25">
      <c r="B26" s="274">
        <v>2028</v>
      </c>
      <c r="C26" s="48">
        <f>+J9</f>
        <v>0</v>
      </c>
      <c r="D26" s="48">
        <f t="shared" si="47"/>
        <v>0</v>
      </c>
      <c r="E26" s="48">
        <f t="shared" si="48"/>
        <v>0</v>
      </c>
      <c r="F26" s="48">
        <v>0</v>
      </c>
      <c r="G26" s="48">
        <f t="shared" si="49"/>
        <v>0</v>
      </c>
      <c r="H26" s="48">
        <f t="shared" si="50"/>
        <v>0</v>
      </c>
      <c r="I26" s="48">
        <f t="shared" si="51"/>
        <v>0</v>
      </c>
      <c r="J26" s="48">
        <f t="shared" si="52"/>
        <v>0</v>
      </c>
      <c r="K26" s="48">
        <f t="shared" si="53"/>
        <v>0</v>
      </c>
      <c r="L26" s="48">
        <f t="shared" si="54"/>
        <v>0</v>
      </c>
      <c r="M26" s="48">
        <f t="shared" si="55"/>
        <v>0</v>
      </c>
      <c r="N26" s="48">
        <f t="shared" si="56"/>
        <v>0</v>
      </c>
      <c r="O26" s="48">
        <f t="shared" si="57"/>
        <v>0</v>
      </c>
      <c r="P26" s="48">
        <f t="shared" si="58"/>
        <v>0</v>
      </c>
      <c r="Q26" s="48">
        <f t="shared" si="45"/>
        <v>0</v>
      </c>
      <c r="R26" s="48">
        <v>0</v>
      </c>
      <c r="S26" s="48">
        <v>0</v>
      </c>
      <c r="T26" s="48">
        <v>0</v>
      </c>
      <c r="U26" s="48">
        <v>0</v>
      </c>
      <c r="V26" s="48">
        <v>0</v>
      </c>
      <c r="W26" s="48">
        <v>0</v>
      </c>
      <c r="X26" s="48">
        <v>0</v>
      </c>
      <c r="Y26" s="48">
        <v>0</v>
      </c>
      <c r="Z26" s="48">
        <v>0</v>
      </c>
      <c r="AA26" s="48">
        <v>0</v>
      </c>
      <c r="AB26" s="48">
        <v>0</v>
      </c>
      <c r="AC26" s="48">
        <v>0</v>
      </c>
      <c r="AD26" s="48">
        <v>0</v>
      </c>
      <c r="AE26" s="48">
        <v>0</v>
      </c>
      <c r="AF26" s="47">
        <v>0</v>
      </c>
      <c r="AH26" s="62"/>
      <c r="AI26" s="62"/>
      <c r="AJ26" s="62"/>
      <c r="AK26" s="62"/>
      <c r="AL26" s="95"/>
      <c r="AM26" s="95"/>
      <c r="AN26" s="95"/>
      <c r="AO26" s="95"/>
      <c r="AP26" s="95"/>
      <c r="AQ26" s="95"/>
      <c r="AR26" s="95"/>
      <c r="AS26" s="95"/>
      <c r="AT26" s="95"/>
      <c r="AU26" s="95"/>
      <c r="AV26" s="95"/>
      <c r="AW26" s="95"/>
      <c r="AX26" s="95"/>
      <c r="AY26" s="95"/>
      <c r="AZ26" s="95"/>
      <c r="BA26" s="95"/>
      <c r="BB26" s="95"/>
      <c r="BC26" s="95"/>
      <c r="BD26" s="95"/>
      <c r="BE26" s="95"/>
      <c r="BF26" s="95"/>
      <c r="BG26" s="62"/>
      <c r="BH26" s="62"/>
    </row>
    <row r="27" spans="2:60" x14ac:dyDescent="0.25">
      <c r="B27" s="274">
        <v>2029</v>
      </c>
      <c r="C27" s="48">
        <f>+K9</f>
        <v>0</v>
      </c>
      <c r="D27" s="48">
        <f t="shared" si="47"/>
        <v>0</v>
      </c>
      <c r="E27" s="48">
        <f t="shared" si="48"/>
        <v>0</v>
      </c>
      <c r="F27" s="48">
        <v>0</v>
      </c>
      <c r="G27" s="48">
        <f t="shared" si="49"/>
        <v>0</v>
      </c>
      <c r="H27" s="48">
        <f t="shared" si="50"/>
        <v>0</v>
      </c>
      <c r="I27" s="48">
        <f t="shared" si="51"/>
        <v>0</v>
      </c>
      <c r="J27" s="48">
        <f t="shared" si="52"/>
        <v>0</v>
      </c>
      <c r="K27" s="48">
        <f t="shared" si="53"/>
        <v>0</v>
      </c>
      <c r="L27" s="48">
        <f t="shared" si="54"/>
        <v>0</v>
      </c>
      <c r="M27" s="48">
        <f t="shared" si="55"/>
        <v>0</v>
      </c>
      <c r="N27" s="48">
        <f t="shared" si="56"/>
        <v>0</v>
      </c>
      <c r="O27" s="48">
        <f t="shared" si="57"/>
        <v>0</v>
      </c>
      <c r="P27" s="48">
        <f t="shared" si="58"/>
        <v>0</v>
      </c>
      <c r="Q27" s="48">
        <f t="shared" si="45"/>
        <v>0</v>
      </c>
      <c r="R27" s="48">
        <v>0</v>
      </c>
      <c r="S27" s="48">
        <v>0</v>
      </c>
      <c r="T27" s="48">
        <v>0</v>
      </c>
      <c r="U27" s="48">
        <v>0</v>
      </c>
      <c r="V27" s="48">
        <v>0</v>
      </c>
      <c r="W27" s="48">
        <v>0</v>
      </c>
      <c r="X27" s="48">
        <v>0</v>
      </c>
      <c r="Y27" s="48">
        <v>0</v>
      </c>
      <c r="Z27" s="48">
        <v>0</v>
      </c>
      <c r="AA27" s="48">
        <v>0</v>
      </c>
      <c r="AB27" s="48">
        <v>0</v>
      </c>
      <c r="AC27" s="48">
        <v>0</v>
      </c>
      <c r="AD27" s="48">
        <v>0</v>
      </c>
      <c r="AE27" s="48">
        <v>0</v>
      </c>
      <c r="AF27" s="47">
        <v>0</v>
      </c>
      <c r="AH27" s="62"/>
      <c r="AI27" s="62"/>
      <c r="AJ27" s="62"/>
      <c r="AK27" s="62"/>
      <c r="AL27" s="62"/>
      <c r="AM27" s="95"/>
      <c r="AN27" s="95"/>
      <c r="AO27" s="95"/>
      <c r="AP27" s="95"/>
      <c r="AQ27" s="95"/>
      <c r="AR27" s="95"/>
      <c r="AS27" s="95"/>
      <c r="AT27" s="95"/>
      <c r="AU27" s="95"/>
      <c r="AV27" s="95"/>
      <c r="AW27" s="95"/>
      <c r="AX27" s="95"/>
      <c r="AY27" s="95"/>
      <c r="AZ27" s="95"/>
      <c r="BA27" s="95"/>
      <c r="BB27" s="95"/>
      <c r="BC27" s="95"/>
      <c r="BD27" s="95"/>
      <c r="BE27" s="95"/>
      <c r="BF27" s="95"/>
      <c r="BG27" s="62"/>
      <c r="BH27" s="62"/>
    </row>
    <row r="28" spans="2:60" x14ac:dyDescent="0.25">
      <c r="B28" s="274">
        <v>2030</v>
      </c>
      <c r="C28" s="48">
        <f>+L9</f>
        <v>0</v>
      </c>
      <c r="D28" s="48">
        <f t="shared" si="47"/>
        <v>0</v>
      </c>
      <c r="E28" s="48">
        <f t="shared" si="48"/>
        <v>0</v>
      </c>
      <c r="F28" s="48">
        <v>0</v>
      </c>
      <c r="G28" s="48">
        <f t="shared" si="49"/>
        <v>0</v>
      </c>
      <c r="H28" s="48">
        <f t="shared" si="50"/>
        <v>0</v>
      </c>
      <c r="I28" s="48">
        <f t="shared" si="51"/>
        <v>0</v>
      </c>
      <c r="J28" s="48">
        <f t="shared" si="52"/>
        <v>0</v>
      </c>
      <c r="K28" s="48">
        <f t="shared" si="53"/>
        <v>0</v>
      </c>
      <c r="L28" s="48">
        <f t="shared" si="54"/>
        <v>0</v>
      </c>
      <c r="M28" s="48">
        <f t="shared" si="55"/>
        <v>0</v>
      </c>
      <c r="N28" s="48">
        <f t="shared" si="56"/>
        <v>0</v>
      </c>
      <c r="O28" s="48">
        <f t="shared" si="57"/>
        <v>0</v>
      </c>
      <c r="P28" s="48">
        <f t="shared" si="58"/>
        <v>0</v>
      </c>
      <c r="Q28" s="48">
        <f t="shared" si="45"/>
        <v>0</v>
      </c>
      <c r="R28" s="48">
        <v>0</v>
      </c>
      <c r="S28" s="48">
        <v>0</v>
      </c>
      <c r="T28" s="48">
        <v>0</v>
      </c>
      <c r="U28" s="48">
        <v>0</v>
      </c>
      <c r="V28" s="48">
        <v>0</v>
      </c>
      <c r="W28" s="48">
        <v>0</v>
      </c>
      <c r="X28" s="48">
        <v>0</v>
      </c>
      <c r="Y28" s="48">
        <v>0</v>
      </c>
      <c r="Z28" s="48">
        <v>0</v>
      </c>
      <c r="AA28" s="48">
        <v>0</v>
      </c>
      <c r="AB28" s="48">
        <v>0</v>
      </c>
      <c r="AC28" s="48">
        <v>0</v>
      </c>
      <c r="AD28" s="48">
        <v>0</v>
      </c>
      <c r="AE28" s="48">
        <v>0</v>
      </c>
      <c r="AF28" s="47">
        <v>0</v>
      </c>
      <c r="AH28" s="62"/>
      <c r="AI28" s="62"/>
      <c r="AJ28" s="62"/>
      <c r="AK28" s="62"/>
      <c r="AL28" s="62"/>
      <c r="AM28" s="62"/>
      <c r="AN28" s="95"/>
      <c r="AO28" s="95"/>
      <c r="AP28" s="95"/>
      <c r="AQ28" s="95"/>
      <c r="AR28" s="95"/>
      <c r="AS28" s="95"/>
      <c r="AT28" s="95"/>
      <c r="AU28" s="95"/>
      <c r="AV28" s="95"/>
      <c r="AW28" s="95"/>
      <c r="AX28" s="95"/>
      <c r="AY28" s="95"/>
      <c r="AZ28" s="95"/>
      <c r="BA28" s="95"/>
      <c r="BB28" s="95"/>
      <c r="BC28" s="95"/>
      <c r="BD28" s="95"/>
      <c r="BE28" s="95"/>
      <c r="BF28" s="95"/>
      <c r="BG28" s="62"/>
      <c r="BH28" s="62"/>
    </row>
    <row r="29" spans="2:60" x14ac:dyDescent="0.25">
      <c r="B29" s="274">
        <v>2031</v>
      </c>
      <c r="C29" s="48">
        <f>+M9</f>
        <v>0</v>
      </c>
      <c r="D29" s="48">
        <f t="shared" si="47"/>
        <v>0</v>
      </c>
      <c r="E29" s="48">
        <f t="shared" si="48"/>
        <v>0</v>
      </c>
      <c r="F29" s="48">
        <v>0</v>
      </c>
      <c r="G29" s="48">
        <f t="shared" si="49"/>
        <v>0</v>
      </c>
      <c r="H29" s="48">
        <f t="shared" si="50"/>
        <v>0</v>
      </c>
      <c r="I29" s="48">
        <f t="shared" si="51"/>
        <v>0</v>
      </c>
      <c r="J29" s="48">
        <f t="shared" si="52"/>
        <v>0</v>
      </c>
      <c r="K29" s="48">
        <f t="shared" si="53"/>
        <v>0</v>
      </c>
      <c r="L29" s="48">
        <f t="shared" si="54"/>
        <v>0</v>
      </c>
      <c r="M29" s="48">
        <f t="shared" si="55"/>
        <v>0</v>
      </c>
      <c r="N29" s="48">
        <f t="shared" si="56"/>
        <v>0</v>
      </c>
      <c r="O29" s="48">
        <f t="shared" si="57"/>
        <v>0</v>
      </c>
      <c r="P29" s="48">
        <f t="shared" si="58"/>
        <v>0</v>
      </c>
      <c r="Q29" s="48">
        <f t="shared" si="45"/>
        <v>0</v>
      </c>
      <c r="R29" s="48">
        <v>0</v>
      </c>
      <c r="S29" s="48">
        <v>0</v>
      </c>
      <c r="T29" s="48">
        <v>0</v>
      </c>
      <c r="U29" s="48">
        <v>0</v>
      </c>
      <c r="V29" s="48">
        <v>0</v>
      </c>
      <c r="W29" s="48">
        <v>0</v>
      </c>
      <c r="X29" s="48">
        <v>0</v>
      </c>
      <c r="Y29" s="48">
        <v>0</v>
      </c>
      <c r="Z29" s="48">
        <v>0</v>
      </c>
      <c r="AA29" s="48">
        <v>0</v>
      </c>
      <c r="AB29" s="48">
        <v>0</v>
      </c>
      <c r="AC29" s="48">
        <v>0</v>
      </c>
      <c r="AD29" s="48">
        <v>0</v>
      </c>
      <c r="AE29" s="48">
        <v>0</v>
      </c>
      <c r="AF29" s="47">
        <v>0</v>
      </c>
      <c r="AH29" s="62"/>
      <c r="AI29" s="62"/>
      <c r="AJ29" s="62"/>
      <c r="AK29" s="62"/>
      <c r="AL29" s="62"/>
      <c r="AM29" s="62"/>
      <c r="AN29" s="62"/>
      <c r="AO29" s="95"/>
      <c r="AP29" s="95"/>
      <c r="AQ29" s="95"/>
      <c r="AR29" s="95"/>
      <c r="AS29" s="95"/>
      <c r="AT29" s="95"/>
      <c r="AU29" s="95"/>
      <c r="AV29" s="95"/>
      <c r="AW29" s="95"/>
      <c r="AX29" s="95"/>
      <c r="AY29" s="95"/>
      <c r="AZ29" s="95"/>
      <c r="BA29" s="95"/>
      <c r="BB29" s="95"/>
      <c r="BC29" s="95"/>
      <c r="BD29" s="95"/>
      <c r="BE29" s="95"/>
      <c r="BF29" s="95"/>
      <c r="BG29" s="62"/>
      <c r="BH29" s="62"/>
    </row>
    <row r="30" spans="2:60" x14ac:dyDescent="0.25">
      <c r="B30" s="274">
        <v>2032</v>
      </c>
      <c r="C30" s="48">
        <f>+N9</f>
        <v>0</v>
      </c>
      <c r="D30" s="48">
        <f t="shared" si="47"/>
        <v>0</v>
      </c>
      <c r="E30" s="48">
        <f t="shared" si="48"/>
        <v>0</v>
      </c>
      <c r="F30" s="48">
        <v>0</v>
      </c>
      <c r="G30" s="48">
        <f t="shared" si="49"/>
        <v>0</v>
      </c>
      <c r="H30" s="48">
        <f t="shared" si="50"/>
        <v>0</v>
      </c>
      <c r="I30" s="48">
        <f t="shared" si="51"/>
        <v>0</v>
      </c>
      <c r="J30" s="48">
        <f t="shared" si="52"/>
        <v>0</v>
      </c>
      <c r="K30" s="48">
        <f t="shared" si="53"/>
        <v>0</v>
      </c>
      <c r="L30" s="48">
        <f t="shared" si="54"/>
        <v>0</v>
      </c>
      <c r="M30" s="48">
        <f t="shared" si="55"/>
        <v>0</v>
      </c>
      <c r="N30" s="48">
        <f t="shared" si="56"/>
        <v>0</v>
      </c>
      <c r="O30" s="48">
        <f t="shared" si="57"/>
        <v>0</v>
      </c>
      <c r="P30" s="48">
        <f t="shared" si="58"/>
        <v>0</v>
      </c>
      <c r="Q30" s="48">
        <f t="shared" si="45"/>
        <v>0</v>
      </c>
      <c r="R30" s="48">
        <v>0</v>
      </c>
      <c r="S30" s="48">
        <v>0</v>
      </c>
      <c r="T30" s="48">
        <v>0</v>
      </c>
      <c r="U30" s="48">
        <v>0</v>
      </c>
      <c r="V30" s="48">
        <v>0</v>
      </c>
      <c r="W30" s="48">
        <v>0</v>
      </c>
      <c r="X30" s="48">
        <v>0</v>
      </c>
      <c r="Y30" s="48">
        <v>0</v>
      </c>
      <c r="Z30" s="48">
        <v>0</v>
      </c>
      <c r="AA30" s="48">
        <v>0</v>
      </c>
      <c r="AB30" s="48">
        <v>0</v>
      </c>
      <c r="AC30" s="48">
        <v>0</v>
      </c>
      <c r="AD30" s="48">
        <v>0</v>
      </c>
      <c r="AE30" s="48">
        <v>0</v>
      </c>
      <c r="AF30" s="47">
        <v>0</v>
      </c>
      <c r="AH30" s="62"/>
      <c r="AI30" s="62"/>
      <c r="AJ30" s="62"/>
      <c r="AK30" s="62"/>
      <c r="AL30" s="62"/>
      <c r="AM30" s="62"/>
      <c r="AN30" s="62"/>
      <c r="AO30" s="62"/>
      <c r="AP30" s="95"/>
      <c r="AQ30" s="95"/>
      <c r="AR30" s="95"/>
      <c r="AS30" s="95"/>
      <c r="AT30" s="95"/>
      <c r="AU30" s="95"/>
      <c r="AV30" s="95"/>
      <c r="AW30" s="95"/>
      <c r="AX30" s="95"/>
      <c r="AY30" s="95"/>
      <c r="AZ30" s="95"/>
      <c r="BA30" s="95"/>
      <c r="BB30" s="95"/>
      <c r="BC30" s="95"/>
      <c r="BD30" s="95"/>
      <c r="BE30" s="95"/>
      <c r="BF30" s="95"/>
      <c r="BG30" s="62"/>
      <c r="BH30" s="62"/>
    </row>
    <row r="31" spans="2:60" x14ac:dyDescent="0.25">
      <c r="B31" s="67" t="s">
        <v>84</v>
      </c>
      <c r="C31" s="68">
        <f t="shared" ref="C31:AF31" si="59">SUM(C22:C30)</f>
        <v>0</v>
      </c>
      <c r="D31" s="260">
        <f t="shared" si="59"/>
        <v>0</v>
      </c>
      <c r="E31" s="68">
        <f t="shared" si="59"/>
        <v>0</v>
      </c>
      <c r="F31" s="68">
        <f t="shared" si="59"/>
        <v>0</v>
      </c>
      <c r="G31" s="68">
        <f t="shared" si="59"/>
        <v>0</v>
      </c>
      <c r="H31" s="68">
        <f t="shared" si="59"/>
        <v>0</v>
      </c>
      <c r="I31" s="68">
        <f t="shared" si="59"/>
        <v>0</v>
      </c>
      <c r="J31" s="68">
        <f t="shared" si="59"/>
        <v>0</v>
      </c>
      <c r="K31" s="68">
        <f t="shared" si="59"/>
        <v>0</v>
      </c>
      <c r="L31" s="68">
        <f t="shared" si="59"/>
        <v>0</v>
      </c>
      <c r="M31" s="68">
        <f t="shared" si="59"/>
        <v>0</v>
      </c>
      <c r="N31" s="68">
        <f t="shared" si="59"/>
        <v>0</v>
      </c>
      <c r="O31" s="68">
        <f t="shared" si="59"/>
        <v>0</v>
      </c>
      <c r="P31" s="68">
        <f t="shared" si="59"/>
        <v>0</v>
      </c>
      <c r="Q31" s="68">
        <f t="shared" si="59"/>
        <v>0</v>
      </c>
      <c r="R31" s="68">
        <f t="shared" si="59"/>
        <v>0</v>
      </c>
      <c r="S31" s="68">
        <f t="shared" si="59"/>
        <v>0</v>
      </c>
      <c r="T31" s="68">
        <f t="shared" si="59"/>
        <v>0</v>
      </c>
      <c r="U31" s="68">
        <f t="shared" si="59"/>
        <v>0</v>
      </c>
      <c r="V31" s="68">
        <f t="shared" si="59"/>
        <v>0</v>
      </c>
      <c r="W31" s="68">
        <f t="shared" si="59"/>
        <v>0</v>
      </c>
      <c r="X31" s="68">
        <f t="shared" si="59"/>
        <v>0</v>
      </c>
      <c r="Y31" s="68">
        <f t="shared" si="59"/>
        <v>0</v>
      </c>
      <c r="Z31" s="68">
        <f t="shared" si="59"/>
        <v>0</v>
      </c>
      <c r="AA31" s="68">
        <f t="shared" si="59"/>
        <v>0</v>
      </c>
      <c r="AB31" s="68">
        <f t="shared" si="59"/>
        <v>0</v>
      </c>
      <c r="AC31" s="68">
        <f t="shared" si="59"/>
        <v>0</v>
      </c>
      <c r="AD31" s="68">
        <f t="shared" si="59"/>
        <v>0</v>
      </c>
      <c r="AE31" s="68">
        <f t="shared" si="59"/>
        <v>0</v>
      </c>
      <c r="AF31" s="69">
        <f t="shared" si="59"/>
        <v>0</v>
      </c>
      <c r="AH31" s="62"/>
      <c r="AI31" s="62"/>
      <c r="AJ31" s="62"/>
      <c r="AK31" s="62"/>
      <c r="AL31" s="62"/>
      <c r="AM31" s="62"/>
      <c r="AN31" s="62"/>
      <c r="AO31" s="62"/>
      <c r="AP31" s="62"/>
      <c r="AQ31" s="95"/>
      <c r="AR31" s="95"/>
      <c r="AS31" s="95"/>
      <c r="AT31" s="95"/>
      <c r="AU31" s="95"/>
      <c r="AV31" s="95"/>
      <c r="AW31" s="95"/>
      <c r="AX31" s="95"/>
      <c r="AY31" s="95"/>
      <c r="AZ31" s="95"/>
      <c r="BA31" s="95"/>
      <c r="BB31" s="95"/>
      <c r="BC31" s="95"/>
      <c r="BD31" s="95"/>
      <c r="BE31" s="95"/>
      <c r="BF31" s="95"/>
      <c r="BG31" s="62"/>
      <c r="BH31" s="62"/>
    </row>
    <row r="32" spans="2:60" x14ac:dyDescent="0.25">
      <c r="B32" s="44"/>
      <c r="C32" s="68"/>
      <c r="D32" s="260"/>
      <c r="E32" s="68"/>
      <c r="F32" s="68"/>
      <c r="G32" s="68"/>
      <c r="H32" s="68"/>
      <c r="I32" s="68"/>
      <c r="J32" s="68"/>
      <c r="K32" s="68"/>
      <c r="L32" s="68"/>
      <c r="M32" s="68"/>
      <c r="N32" s="68"/>
      <c r="O32" s="68"/>
      <c r="P32" s="68"/>
      <c r="Q32" s="68"/>
      <c r="R32" s="68"/>
      <c r="S32" s="68"/>
      <c r="T32" s="68"/>
      <c r="U32" s="68"/>
      <c r="V32" s="68"/>
      <c r="W32" s="68"/>
      <c r="X32" s="68"/>
      <c r="Y32" s="68"/>
      <c r="Z32" s="68"/>
      <c r="AA32" s="68"/>
      <c r="AB32" s="68"/>
      <c r="AC32" s="68"/>
      <c r="AD32" s="68"/>
      <c r="AE32" s="68"/>
      <c r="AF32" s="69"/>
      <c r="AH32" s="260"/>
      <c r="AI32" s="260"/>
      <c r="AJ32" s="260"/>
      <c r="AK32" s="260"/>
      <c r="AL32" s="260"/>
      <c r="AM32" s="260"/>
      <c r="AN32" s="260"/>
      <c r="AO32" s="260"/>
      <c r="AP32" s="260"/>
      <c r="AQ32" s="260"/>
      <c r="AR32" s="260"/>
      <c r="AS32" s="260"/>
      <c r="AT32" s="260"/>
      <c r="AU32" s="260"/>
      <c r="AV32" s="260"/>
      <c r="AW32" s="260"/>
      <c r="AX32" s="260"/>
      <c r="AY32" s="260"/>
      <c r="AZ32" s="260"/>
      <c r="BA32" s="260"/>
      <c r="BB32" s="260"/>
      <c r="BC32" s="260"/>
      <c r="BD32" s="260"/>
      <c r="BE32" s="260"/>
      <c r="BF32" s="260"/>
      <c r="BG32" s="62"/>
      <c r="BH32" s="62"/>
    </row>
    <row r="33" spans="2:60" x14ac:dyDescent="0.25">
      <c r="B33" s="67" t="s">
        <v>65</v>
      </c>
      <c r="C33" s="68">
        <f>+C31</f>
        <v>0</v>
      </c>
      <c r="D33" s="68">
        <f t="shared" ref="D33:AF33" si="60">+D31</f>
        <v>0</v>
      </c>
      <c r="E33" s="68">
        <f t="shared" si="60"/>
        <v>0</v>
      </c>
      <c r="F33" s="68">
        <f t="shared" si="60"/>
        <v>0</v>
      </c>
      <c r="G33" s="68">
        <f t="shared" si="60"/>
        <v>0</v>
      </c>
      <c r="H33" s="68">
        <f t="shared" si="60"/>
        <v>0</v>
      </c>
      <c r="I33" s="68">
        <f t="shared" si="60"/>
        <v>0</v>
      </c>
      <c r="J33" s="68">
        <f t="shared" si="60"/>
        <v>0</v>
      </c>
      <c r="K33" s="68">
        <f t="shared" si="60"/>
        <v>0</v>
      </c>
      <c r="L33" s="68">
        <f t="shared" si="60"/>
        <v>0</v>
      </c>
      <c r="M33" s="68">
        <f t="shared" si="60"/>
        <v>0</v>
      </c>
      <c r="N33" s="68">
        <f t="shared" si="60"/>
        <v>0</v>
      </c>
      <c r="O33" s="68">
        <f t="shared" si="60"/>
        <v>0</v>
      </c>
      <c r="P33" s="68">
        <f t="shared" si="60"/>
        <v>0</v>
      </c>
      <c r="Q33" s="68">
        <f t="shared" si="60"/>
        <v>0</v>
      </c>
      <c r="R33" s="68">
        <f t="shared" si="60"/>
        <v>0</v>
      </c>
      <c r="S33" s="68">
        <f t="shared" si="60"/>
        <v>0</v>
      </c>
      <c r="T33" s="68">
        <f t="shared" si="60"/>
        <v>0</v>
      </c>
      <c r="U33" s="68">
        <f t="shared" si="60"/>
        <v>0</v>
      </c>
      <c r="V33" s="68">
        <f t="shared" si="60"/>
        <v>0</v>
      </c>
      <c r="W33" s="68">
        <f t="shared" si="60"/>
        <v>0</v>
      </c>
      <c r="X33" s="68">
        <f t="shared" si="60"/>
        <v>0</v>
      </c>
      <c r="Y33" s="68">
        <f t="shared" si="60"/>
        <v>0</v>
      </c>
      <c r="Z33" s="68">
        <f t="shared" si="60"/>
        <v>0</v>
      </c>
      <c r="AA33" s="68">
        <f t="shared" si="60"/>
        <v>0</v>
      </c>
      <c r="AB33" s="68">
        <f t="shared" si="60"/>
        <v>0</v>
      </c>
      <c r="AC33" s="68">
        <f t="shared" si="60"/>
        <v>0</v>
      </c>
      <c r="AD33" s="68">
        <f t="shared" si="60"/>
        <v>0</v>
      </c>
      <c r="AE33" s="68">
        <f t="shared" si="60"/>
        <v>0</v>
      </c>
      <c r="AF33" s="69">
        <f t="shared" si="60"/>
        <v>0</v>
      </c>
      <c r="AH33" s="260"/>
      <c r="AI33" s="260"/>
      <c r="AJ33" s="260"/>
      <c r="AK33" s="260"/>
      <c r="AL33" s="260"/>
      <c r="AM33" s="260"/>
      <c r="AN33" s="260"/>
      <c r="AO33" s="260"/>
      <c r="AP33" s="260"/>
      <c r="AQ33" s="260"/>
      <c r="AR33" s="260"/>
      <c r="AS33" s="260"/>
      <c r="AT33" s="260"/>
      <c r="AU33" s="260"/>
      <c r="AV33" s="260"/>
      <c r="AW33" s="260"/>
      <c r="AX33" s="260"/>
      <c r="AY33" s="260"/>
      <c r="AZ33" s="260"/>
      <c r="BA33" s="260"/>
      <c r="BB33" s="260"/>
      <c r="BC33" s="260"/>
      <c r="BD33" s="260"/>
      <c r="BE33" s="260"/>
      <c r="BF33" s="260"/>
    </row>
    <row r="34" spans="2:60" x14ac:dyDescent="0.25">
      <c r="B34" s="72"/>
      <c r="C34" s="55"/>
      <c r="D34" s="55"/>
      <c r="E34" s="55"/>
      <c r="F34" s="55"/>
      <c r="G34" s="55"/>
      <c r="H34" s="73"/>
      <c r="I34" s="73"/>
      <c r="J34" s="74"/>
      <c r="K34" s="74"/>
      <c r="L34" s="74"/>
      <c r="M34" s="74"/>
      <c r="N34" s="74"/>
      <c r="O34" s="74"/>
      <c r="P34" s="74"/>
      <c r="Q34" s="74"/>
      <c r="R34" s="74"/>
      <c r="S34" s="74"/>
      <c r="T34" s="74"/>
      <c r="U34" s="74"/>
      <c r="V34" s="74"/>
      <c r="W34" s="74"/>
      <c r="X34" s="74"/>
      <c r="Y34" s="74"/>
      <c r="Z34" s="74"/>
      <c r="AA34" s="74"/>
      <c r="AB34" s="74"/>
      <c r="AC34" s="74"/>
      <c r="AD34" s="74"/>
      <c r="AE34" s="74"/>
      <c r="AF34" s="75"/>
      <c r="AG34" s="46"/>
      <c r="AI34" s="62"/>
      <c r="AJ34" s="62"/>
      <c r="AK34" s="95"/>
      <c r="AL34" s="95"/>
      <c r="AM34" s="95"/>
      <c r="AN34" s="95"/>
      <c r="AO34" s="95"/>
      <c r="AP34" s="95"/>
      <c r="AQ34" s="95"/>
      <c r="AR34" s="95"/>
      <c r="AS34" s="95"/>
      <c r="AT34" s="95"/>
      <c r="AU34" s="95"/>
      <c r="AV34" s="95"/>
      <c r="AW34" s="95"/>
      <c r="AX34" s="95"/>
      <c r="AY34" s="95"/>
      <c r="AZ34" s="95"/>
      <c r="BA34" s="95"/>
      <c r="BB34" s="95"/>
      <c r="BC34" s="95"/>
      <c r="BD34" s="95"/>
      <c r="BE34" s="95"/>
      <c r="BF34" s="95"/>
    </row>
    <row r="36" spans="2:60" x14ac:dyDescent="0.25">
      <c r="B36" s="76" t="s">
        <v>85</v>
      </c>
      <c r="C36" s="77"/>
      <c r="D36" s="40"/>
      <c r="E36" s="40"/>
      <c r="F36" s="40"/>
      <c r="G36" s="40"/>
      <c r="H36" s="78"/>
      <c r="I36" s="78"/>
      <c r="J36" s="78"/>
      <c r="K36" s="78"/>
      <c r="L36" s="78"/>
      <c r="M36" s="78"/>
      <c r="N36" s="78"/>
      <c r="O36" s="78"/>
      <c r="P36" s="78"/>
      <c r="Q36" s="78"/>
      <c r="R36" s="78"/>
      <c r="S36" s="78"/>
      <c r="T36" s="78"/>
      <c r="U36" s="78"/>
      <c r="V36" s="78"/>
      <c r="W36" s="78"/>
      <c r="X36" s="78"/>
      <c r="Y36" s="78"/>
      <c r="Z36" s="78"/>
      <c r="AA36" s="78"/>
      <c r="AB36" s="78"/>
      <c r="AC36" s="78"/>
      <c r="AD36" s="78"/>
      <c r="AE36" s="78"/>
      <c r="AF36" s="192"/>
    </row>
    <row r="37" spans="2:60" ht="23" x14ac:dyDescent="0.25">
      <c r="B37" s="273" t="s">
        <v>81</v>
      </c>
      <c r="C37" s="190" t="s">
        <v>69</v>
      </c>
      <c r="D37" s="190" t="s">
        <v>86</v>
      </c>
      <c r="E37" s="190" t="s">
        <v>83</v>
      </c>
      <c r="F37" s="187" t="str">
        <f>F6</f>
        <v>2023 &amp; Prior</v>
      </c>
      <c r="G37" s="188">
        <f>G6</f>
        <v>2024</v>
      </c>
      <c r="H37" s="188">
        <f>+G37+1</f>
        <v>2025</v>
      </c>
      <c r="I37" s="188">
        <f t="shared" ref="I37:AF37" si="61">+H37+1</f>
        <v>2026</v>
      </c>
      <c r="J37" s="188">
        <f t="shared" si="61"/>
        <v>2027</v>
      </c>
      <c r="K37" s="188">
        <f t="shared" si="61"/>
        <v>2028</v>
      </c>
      <c r="L37" s="188">
        <f t="shared" si="61"/>
        <v>2029</v>
      </c>
      <c r="M37" s="188">
        <f t="shared" si="61"/>
        <v>2030</v>
      </c>
      <c r="N37" s="188">
        <f t="shared" si="61"/>
        <v>2031</v>
      </c>
      <c r="O37" s="188">
        <f t="shared" si="61"/>
        <v>2032</v>
      </c>
      <c r="P37" s="188">
        <f t="shared" si="61"/>
        <v>2033</v>
      </c>
      <c r="Q37" s="188">
        <f t="shared" si="61"/>
        <v>2034</v>
      </c>
      <c r="R37" s="188">
        <f t="shared" si="61"/>
        <v>2035</v>
      </c>
      <c r="S37" s="188">
        <f t="shared" si="61"/>
        <v>2036</v>
      </c>
      <c r="T37" s="188">
        <f t="shared" si="61"/>
        <v>2037</v>
      </c>
      <c r="U37" s="188">
        <f t="shared" si="61"/>
        <v>2038</v>
      </c>
      <c r="V37" s="188">
        <f t="shared" si="61"/>
        <v>2039</v>
      </c>
      <c r="W37" s="188">
        <f t="shared" si="61"/>
        <v>2040</v>
      </c>
      <c r="X37" s="188">
        <f t="shared" si="61"/>
        <v>2041</v>
      </c>
      <c r="Y37" s="188">
        <f t="shared" si="61"/>
        <v>2042</v>
      </c>
      <c r="Z37" s="188">
        <f t="shared" si="61"/>
        <v>2043</v>
      </c>
      <c r="AA37" s="188">
        <f t="shared" si="61"/>
        <v>2044</v>
      </c>
      <c r="AB37" s="188">
        <f t="shared" si="61"/>
        <v>2045</v>
      </c>
      <c r="AC37" s="188">
        <f t="shared" si="61"/>
        <v>2046</v>
      </c>
      <c r="AD37" s="188">
        <f t="shared" si="61"/>
        <v>2047</v>
      </c>
      <c r="AE37" s="188">
        <f t="shared" si="61"/>
        <v>2048</v>
      </c>
      <c r="AF37" s="193">
        <f t="shared" si="61"/>
        <v>2049</v>
      </c>
      <c r="AH37" s="269"/>
      <c r="AI37" s="269"/>
      <c r="AJ37" s="269"/>
      <c r="AK37" s="269"/>
      <c r="AL37" s="269"/>
      <c r="AM37" s="269"/>
      <c r="AN37" s="269"/>
      <c r="AO37" s="269"/>
      <c r="AP37" s="269"/>
      <c r="AQ37" s="269"/>
      <c r="AR37" s="269"/>
      <c r="AS37" s="269"/>
      <c r="AT37" s="269"/>
      <c r="AU37" s="269"/>
      <c r="AV37" s="269"/>
      <c r="AW37" s="269"/>
      <c r="AX37" s="269"/>
      <c r="AY37" s="269"/>
      <c r="AZ37" s="269"/>
      <c r="BA37" s="269"/>
      <c r="BB37" s="269"/>
      <c r="BC37" s="269"/>
      <c r="BD37" s="269"/>
      <c r="BE37" s="269"/>
      <c r="BF37" s="269"/>
    </row>
    <row r="38" spans="2:60" x14ac:dyDescent="0.25">
      <c r="B38" s="44"/>
      <c r="D38" s="173"/>
      <c r="AF38" s="45"/>
    </row>
    <row r="39" spans="2:60" x14ac:dyDescent="0.25">
      <c r="B39" s="274">
        <v>2024</v>
      </c>
      <c r="C39" s="48">
        <f>+G10</f>
        <v>6340.7576760502279</v>
      </c>
      <c r="D39" s="177">
        <f>NPV($G$17,H39:AF39)+F39+G39</f>
        <v>6849.1860749110392</v>
      </c>
      <c r="E39" s="48">
        <f>SUM(F39:AF39)</f>
        <v>8123.3882957438791</v>
      </c>
      <c r="F39" s="62">
        <v>0</v>
      </c>
      <c r="G39" s="62">
        <f>-PMT($G$14/2,$G$13*2,$G$10)</f>
        <v>406.16941478719389</v>
      </c>
      <c r="H39" s="62">
        <f>+G39*2</f>
        <v>812.33882957438777</v>
      </c>
      <c r="I39" s="62">
        <f t="shared" ref="I39" si="62">+H39</f>
        <v>812.33882957438777</v>
      </c>
      <c r="J39" s="62">
        <f t="shared" ref="J39:J40" si="63">+I39</f>
        <v>812.33882957438777</v>
      </c>
      <c r="K39" s="62">
        <f t="shared" ref="K39" si="64">+J39</f>
        <v>812.33882957438777</v>
      </c>
      <c r="L39" s="62">
        <f t="shared" ref="L39:L42" si="65">+K39</f>
        <v>812.33882957438777</v>
      </c>
      <c r="M39" s="62">
        <f t="shared" ref="M39:M43" si="66">+L39</f>
        <v>812.33882957438777</v>
      </c>
      <c r="N39" s="62">
        <f t="shared" ref="N39:N44" si="67">+M39</f>
        <v>812.33882957438777</v>
      </c>
      <c r="O39" s="62">
        <f t="shared" ref="O39:O45" si="68">+N39</f>
        <v>812.33882957438777</v>
      </c>
      <c r="P39" s="62">
        <f t="shared" ref="P39:P46" si="69">+O39</f>
        <v>812.33882957438777</v>
      </c>
      <c r="Q39" s="62">
        <f>P39/2</f>
        <v>406.16941478719389</v>
      </c>
      <c r="R39" s="62"/>
      <c r="S39" s="62"/>
      <c r="T39" s="62"/>
      <c r="U39" s="62"/>
      <c r="V39" s="62"/>
      <c r="W39" s="62"/>
      <c r="X39" s="62"/>
      <c r="Y39" s="62"/>
      <c r="Z39" s="62"/>
      <c r="AA39" s="62"/>
      <c r="AB39" s="62"/>
      <c r="AC39" s="62"/>
      <c r="AD39" s="62"/>
      <c r="AE39" s="62"/>
      <c r="AF39" s="64"/>
      <c r="AH39" s="62"/>
      <c r="AI39" s="62"/>
      <c r="AJ39" s="62"/>
      <c r="AK39" s="62"/>
      <c r="AL39" s="62"/>
      <c r="AM39" s="62"/>
      <c r="AN39" s="62"/>
      <c r="AO39" s="62"/>
      <c r="AP39" s="62"/>
      <c r="AQ39" s="62"/>
      <c r="AR39" s="62"/>
      <c r="AS39" s="62"/>
      <c r="AT39" s="62"/>
      <c r="AU39" s="62"/>
      <c r="AV39" s="62"/>
      <c r="AW39" s="62"/>
      <c r="AX39" s="62"/>
      <c r="AY39" s="62"/>
      <c r="AZ39" s="62"/>
      <c r="BA39" s="62"/>
      <c r="BB39" s="62"/>
      <c r="BC39" s="62"/>
      <c r="BD39" s="62"/>
      <c r="BE39" s="62"/>
      <c r="BF39" s="62"/>
      <c r="BG39" s="62"/>
      <c r="BH39" s="62"/>
    </row>
    <row r="40" spans="2:60" x14ac:dyDescent="0.25">
      <c r="B40" s="274">
        <v>2025</v>
      </c>
      <c r="C40" s="48">
        <f>+H10</f>
        <v>13777.104640000001</v>
      </c>
      <c r="D40" s="177">
        <f>NPV($G$17,H40:AF40)+F40+G40</f>
        <v>14331.763359197168</v>
      </c>
      <c r="E40" s="48">
        <f t="shared" ref="E40:E51" si="70">SUM(F40:AF40)</f>
        <v>17606.53049122405</v>
      </c>
      <c r="F40" s="62">
        <v>0</v>
      </c>
      <c r="G40" s="62">
        <v>0</v>
      </c>
      <c r="H40" s="62">
        <f>-PMT($H$14/2,$H$13*2,$H$10)</f>
        <v>880.32652456120252</v>
      </c>
      <c r="I40" s="65">
        <f>+H40*2</f>
        <v>1760.653049122405</v>
      </c>
      <c r="J40" s="65">
        <f t="shared" si="63"/>
        <v>1760.653049122405</v>
      </c>
      <c r="K40" s="65">
        <f>+J40</f>
        <v>1760.653049122405</v>
      </c>
      <c r="L40" s="65">
        <f t="shared" si="65"/>
        <v>1760.653049122405</v>
      </c>
      <c r="M40" s="65">
        <f t="shared" si="66"/>
        <v>1760.653049122405</v>
      </c>
      <c r="N40" s="65">
        <f t="shared" si="67"/>
        <v>1760.653049122405</v>
      </c>
      <c r="O40" s="65">
        <f t="shared" si="68"/>
        <v>1760.653049122405</v>
      </c>
      <c r="P40" s="65">
        <f t="shared" si="69"/>
        <v>1760.653049122405</v>
      </c>
      <c r="Q40" s="65">
        <f t="shared" ref="Q40:Q47" si="71">+P40</f>
        <v>1760.653049122405</v>
      </c>
      <c r="R40" s="65">
        <f>+Q40/2</f>
        <v>880.32652456120252</v>
      </c>
      <c r="S40" s="65"/>
      <c r="T40" s="65"/>
      <c r="U40" s="65"/>
      <c r="V40" s="65"/>
      <c r="W40" s="65"/>
      <c r="X40" s="65"/>
      <c r="Y40" s="65"/>
      <c r="Z40" s="65"/>
      <c r="AA40" s="65"/>
      <c r="AB40" s="65"/>
      <c r="AC40" s="65"/>
      <c r="AD40" s="65"/>
      <c r="AE40" s="65"/>
      <c r="AF40" s="66"/>
      <c r="AH40" s="62"/>
      <c r="AI40" s="62"/>
      <c r="AJ40" s="65"/>
      <c r="AK40" s="65"/>
      <c r="AL40" s="65"/>
      <c r="AM40" s="65"/>
      <c r="AN40" s="65"/>
      <c r="AO40" s="65"/>
      <c r="AP40" s="65"/>
      <c r="AQ40" s="65"/>
      <c r="AR40" s="65"/>
      <c r="AS40" s="65"/>
      <c r="AT40" s="65"/>
      <c r="AU40" s="65"/>
      <c r="AV40" s="65"/>
      <c r="AW40" s="65"/>
      <c r="AX40" s="65"/>
      <c r="AY40" s="65"/>
      <c r="AZ40" s="65"/>
      <c r="BA40" s="65"/>
      <c r="BB40" s="65"/>
      <c r="BC40" s="65"/>
      <c r="BD40" s="65"/>
      <c r="BE40" s="65"/>
      <c r="BF40" s="65"/>
      <c r="BG40" s="62"/>
      <c r="BH40" s="62"/>
    </row>
    <row r="41" spans="2:60" x14ac:dyDescent="0.25">
      <c r="B41" s="274">
        <v>2026</v>
      </c>
      <c r="C41" s="48">
        <f>+I10</f>
        <v>14000.638080000001</v>
      </c>
      <c r="D41" s="177">
        <f>NPV($G$17,H41:AF41)+F41+G41</f>
        <v>14097.598449853938</v>
      </c>
      <c r="E41" s="48">
        <f t="shared" si="70"/>
        <v>17938.874739135372</v>
      </c>
      <c r="F41" s="62">
        <v>0</v>
      </c>
      <c r="G41" s="62">
        <v>0</v>
      </c>
      <c r="H41" s="62">
        <v>0</v>
      </c>
      <c r="I41" s="62">
        <f>-PMT($I$14/2,$I$13*2,$I$10)</f>
        <v>896.94373695676882</v>
      </c>
      <c r="J41" s="65">
        <f>+I41*2</f>
        <v>1793.8874739135376</v>
      </c>
      <c r="K41" s="65">
        <f t="shared" ref="K41" si="72">+J41</f>
        <v>1793.8874739135376</v>
      </c>
      <c r="L41" s="65">
        <f t="shared" si="65"/>
        <v>1793.8874739135376</v>
      </c>
      <c r="M41" s="65">
        <f t="shared" si="66"/>
        <v>1793.8874739135376</v>
      </c>
      <c r="N41" s="65">
        <f t="shared" si="67"/>
        <v>1793.8874739135376</v>
      </c>
      <c r="O41" s="65">
        <f t="shared" si="68"/>
        <v>1793.8874739135376</v>
      </c>
      <c r="P41" s="65">
        <f t="shared" si="69"/>
        <v>1793.8874739135376</v>
      </c>
      <c r="Q41" s="65">
        <f t="shared" si="71"/>
        <v>1793.8874739135376</v>
      </c>
      <c r="R41" s="65">
        <f t="shared" ref="R41:R48" si="73">+Q41</f>
        <v>1793.8874739135376</v>
      </c>
      <c r="S41" s="65">
        <f>+R41/2</f>
        <v>896.94373695676882</v>
      </c>
      <c r="T41" s="65"/>
      <c r="U41" s="65"/>
      <c r="V41" s="65"/>
      <c r="W41" s="65"/>
      <c r="X41" s="65"/>
      <c r="Y41" s="65"/>
      <c r="Z41" s="65"/>
      <c r="AA41" s="65"/>
      <c r="AB41" s="65"/>
      <c r="AC41" s="65"/>
      <c r="AD41" s="65"/>
      <c r="AE41" s="65"/>
      <c r="AF41" s="66"/>
      <c r="AH41" s="62"/>
      <c r="AI41" s="62"/>
      <c r="AJ41" s="62"/>
      <c r="AK41" s="65"/>
      <c r="AL41" s="65"/>
      <c r="AM41" s="65"/>
      <c r="AN41" s="65"/>
      <c r="AO41" s="65"/>
      <c r="AP41" s="65"/>
      <c r="AQ41" s="65"/>
      <c r="AR41" s="65"/>
      <c r="AS41" s="65"/>
      <c r="AT41" s="65"/>
      <c r="AU41" s="65"/>
      <c r="AV41" s="65"/>
      <c r="AW41" s="65"/>
      <c r="AX41" s="65"/>
      <c r="AY41" s="65"/>
      <c r="AZ41" s="65"/>
      <c r="BA41" s="65"/>
      <c r="BB41" s="65"/>
      <c r="BC41" s="65"/>
      <c r="BD41" s="65"/>
      <c r="BE41" s="65"/>
      <c r="BF41" s="65"/>
      <c r="BG41" s="62"/>
      <c r="BH41" s="62"/>
    </row>
    <row r="42" spans="2:60" x14ac:dyDescent="0.25">
      <c r="B42" s="274">
        <v>2027</v>
      </c>
      <c r="C42" s="48">
        <f>+J10</f>
        <v>9266.4</v>
      </c>
      <c r="D42" s="177">
        <f t="shared" ref="D42:D51" si="74">NPV($G$17,H42:AF42)+F42+G42</f>
        <v>9059.589943210638</v>
      </c>
      <c r="E42" s="48">
        <f t="shared" si="70"/>
        <v>11940.829821376081</v>
      </c>
      <c r="F42" s="62">
        <v>0</v>
      </c>
      <c r="G42" s="62">
        <v>0</v>
      </c>
      <c r="H42" s="62">
        <v>0</v>
      </c>
      <c r="I42" s="62">
        <v>0</v>
      </c>
      <c r="J42" s="62">
        <f>-PMT($J$14/2,$J$13*2,$J$10)</f>
        <v>597.04149106880391</v>
      </c>
      <c r="K42" s="65">
        <f>+J42*2</f>
        <v>1194.0829821376078</v>
      </c>
      <c r="L42" s="65">
        <f t="shared" si="65"/>
        <v>1194.0829821376078</v>
      </c>
      <c r="M42" s="65">
        <f t="shared" si="66"/>
        <v>1194.0829821376078</v>
      </c>
      <c r="N42" s="65">
        <f t="shared" si="67"/>
        <v>1194.0829821376078</v>
      </c>
      <c r="O42" s="65">
        <f t="shared" si="68"/>
        <v>1194.0829821376078</v>
      </c>
      <c r="P42" s="65">
        <f t="shared" si="69"/>
        <v>1194.0829821376078</v>
      </c>
      <c r="Q42" s="65">
        <f t="shared" si="71"/>
        <v>1194.0829821376078</v>
      </c>
      <c r="R42" s="65">
        <f t="shared" si="73"/>
        <v>1194.0829821376078</v>
      </c>
      <c r="S42" s="65">
        <f t="shared" ref="S42:S49" si="75">+R42</f>
        <v>1194.0829821376078</v>
      </c>
      <c r="T42" s="65">
        <f>+S42/2</f>
        <v>597.04149106880391</v>
      </c>
      <c r="U42" s="65"/>
      <c r="V42" s="65"/>
      <c r="W42" s="65"/>
      <c r="X42" s="65"/>
      <c r="Y42" s="65"/>
      <c r="Z42" s="65"/>
      <c r="AA42" s="65"/>
      <c r="AB42" s="65"/>
      <c r="AC42" s="65"/>
      <c r="AD42" s="65"/>
      <c r="AE42" s="65"/>
      <c r="AF42" s="66"/>
      <c r="AH42" s="62"/>
      <c r="AI42" s="62"/>
      <c r="AJ42" s="62"/>
      <c r="AK42" s="62"/>
      <c r="AL42" s="65"/>
      <c r="AM42" s="65"/>
      <c r="AN42" s="65"/>
      <c r="AO42" s="65"/>
      <c r="AP42" s="65"/>
      <c r="AQ42" s="65"/>
      <c r="AR42" s="65"/>
      <c r="AS42" s="65"/>
      <c r="AT42" s="65"/>
      <c r="AU42" s="65"/>
      <c r="AV42" s="65"/>
      <c r="AW42" s="65"/>
      <c r="AX42" s="65"/>
      <c r="AY42" s="65"/>
      <c r="AZ42" s="65"/>
      <c r="BA42" s="65"/>
      <c r="BB42" s="65"/>
      <c r="BC42" s="65"/>
      <c r="BD42" s="65"/>
      <c r="BE42" s="65"/>
      <c r="BF42" s="65"/>
      <c r="BG42" s="62"/>
      <c r="BH42" s="62"/>
    </row>
    <row r="43" spans="2:60" x14ac:dyDescent="0.25">
      <c r="B43" s="274">
        <v>2028</v>
      </c>
      <c r="C43" s="48">
        <f>+K10</f>
        <v>9266.4</v>
      </c>
      <c r="D43" s="177">
        <f>NPV($G$17,H43:AF43)+F43+G43</f>
        <v>8817.9069800173947</v>
      </c>
      <c r="E43" s="48">
        <f>SUM(F43:AF43)</f>
        <v>12038.361696951526</v>
      </c>
      <c r="F43" s="62">
        <v>0</v>
      </c>
      <c r="G43" s="62">
        <v>0</v>
      </c>
      <c r="H43" s="62">
        <v>0</v>
      </c>
      <c r="I43" s="62">
        <v>0</v>
      </c>
      <c r="J43" s="62">
        <v>0</v>
      </c>
      <c r="K43" s="62">
        <f>-PMT($K$14/2,$K$13*2,$K$10)</f>
        <v>601.91808484757644</v>
      </c>
      <c r="L43" s="65">
        <f>+K43*2</f>
        <v>1203.8361696951529</v>
      </c>
      <c r="M43" s="65">
        <f t="shared" si="66"/>
        <v>1203.8361696951529</v>
      </c>
      <c r="N43" s="65">
        <f t="shared" si="67"/>
        <v>1203.8361696951529</v>
      </c>
      <c r="O43" s="65">
        <f t="shared" si="68"/>
        <v>1203.8361696951529</v>
      </c>
      <c r="P43" s="65">
        <f t="shared" si="69"/>
        <v>1203.8361696951529</v>
      </c>
      <c r="Q43" s="65">
        <f t="shared" si="71"/>
        <v>1203.8361696951529</v>
      </c>
      <c r="R43" s="65">
        <f t="shared" si="73"/>
        <v>1203.8361696951529</v>
      </c>
      <c r="S43" s="65">
        <f t="shared" si="75"/>
        <v>1203.8361696951529</v>
      </c>
      <c r="T43" s="65">
        <f t="shared" ref="T43:T50" si="76">+S43</f>
        <v>1203.8361696951529</v>
      </c>
      <c r="U43" s="65">
        <f>+T43/2</f>
        <v>601.91808484757644</v>
      </c>
      <c r="V43" s="65"/>
      <c r="W43" s="65"/>
      <c r="X43" s="65"/>
      <c r="Y43" s="65"/>
      <c r="Z43" s="65"/>
      <c r="AA43" s="65"/>
      <c r="AB43" s="65"/>
      <c r="AC43" s="65"/>
      <c r="AD43" s="65"/>
      <c r="AE43" s="65"/>
      <c r="AF43" s="66"/>
      <c r="AH43" s="62"/>
      <c r="AI43" s="62"/>
      <c r="AJ43" s="62"/>
      <c r="AK43" s="62"/>
      <c r="AL43" s="62"/>
      <c r="AM43" s="65"/>
      <c r="AN43" s="65"/>
      <c r="AO43" s="65"/>
      <c r="AP43" s="65"/>
      <c r="AQ43" s="65"/>
      <c r="AR43" s="65"/>
      <c r="AS43" s="65"/>
      <c r="AT43" s="65"/>
      <c r="AU43" s="65"/>
      <c r="AV43" s="65"/>
      <c r="AW43" s="65"/>
      <c r="AX43" s="65"/>
      <c r="AY43" s="65"/>
      <c r="AZ43" s="65"/>
      <c r="BA43" s="65"/>
      <c r="BB43" s="65"/>
      <c r="BC43" s="65"/>
      <c r="BD43" s="65"/>
      <c r="BE43" s="65"/>
      <c r="BF43" s="65"/>
      <c r="BG43" s="62"/>
      <c r="BH43" s="62"/>
    </row>
    <row r="44" spans="2:60" x14ac:dyDescent="0.25">
      <c r="B44" s="274">
        <v>2029</v>
      </c>
      <c r="C44" s="48">
        <f>+L10</f>
        <v>9266.4</v>
      </c>
      <c r="D44" s="177">
        <f>NPV($G$17,H44:AF44)+F44+G44</f>
        <v>8559.4607907232457</v>
      </c>
      <c r="E44" s="48">
        <f t="shared" si="70"/>
        <v>12103.868259434768</v>
      </c>
      <c r="F44" s="62">
        <v>0</v>
      </c>
      <c r="G44" s="62">
        <v>0</v>
      </c>
      <c r="H44" s="62">
        <v>0</v>
      </c>
      <c r="I44" s="62">
        <v>0</v>
      </c>
      <c r="J44" s="62">
        <v>0</v>
      </c>
      <c r="K44" s="62">
        <v>0</v>
      </c>
      <c r="L44" s="62">
        <f>-PMT($L$14/2,$L$13*2,$L$10)</f>
        <v>605.19341297173844</v>
      </c>
      <c r="M44" s="65">
        <f>+L44*2</f>
        <v>1210.3868259434769</v>
      </c>
      <c r="N44" s="65">
        <f t="shared" si="67"/>
        <v>1210.3868259434769</v>
      </c>
      <c r="O44" s="65">
        <f t="shared" si="68"/>
        <v>1210.3868259434769</v>
      </c>
      <c r="P44" s="65">
        <f t="shared" si="69"/>
        <v>1210.3868259434769</v>
      </c>
      <c r="Q44" s="65">
        <f t="shared" si="71"/>
        <v>1210.3868259434769</v>
      </c>
      <c r="R44" s="65">
        <f t="shared" si="73"/>
        <v>1210.3868259434769</v>
      </c>
      <c r="S44" s="65">
        <f t="shared" si="75"/>
        <v>1210.3868259434769</v>
      </c>
      <c r="T44" s="65">
        <f t="shared" si="76"/>
        <v>1210.3868259434769</v>
      </c>
      <c r="U44" s="65">
        <f t="shared" ref="U44:U51" si="77">+T44</f>
        <v>1210.3868259434769</v>
      </c>
      <c r="V44" s="65">
        <f>+U44/2</f>
        <v>605.19341297173844</v>
      </c>
      <c r="W44" s="65"/>
      <c r="X44" s="65"/>
      <c r="Y44" s="65"/>
      <c r="Z44" s="65"/>
      <c r="AA44" s="65"/>
      <c r="AB44" s="65"/>
      <c r="AC44" s="65"/>
      <c r="AD44" s="65"/>
      <c r="AE44" s="65"/>
      <c r="AF44" s="66"/>
      <c r="AH44" s="62"/>
      <c r="AI44" s="62"/>
      <c r="AJ44" s="62"/>
      <c r="AK44" s="62"/>
      <c r="AL44" s="62"/>
      <c r="AM44" s="62"/>
      <c r="AN44" s="65"/>
      <c r="AO44" s="65"/>
      <c r="AP44" s="65"/>
      <c r="AQ44" s="65"/>
      <c r="AR44" s="65"/>
      <c r="AS44" s="65"/>
      <c r="AT44" s="65"/>
      <c r="AU44" s="65"/>
      <c r="AV44" s="65"/>
      <c r="AW44" s="65"/>
      <c r="AX44" s="65"/>
      <c r="AY44" s="65"/>
      <c r="AZ44" s="65"/>
      <c r="BA44" s="65"/>
      <c r="BB44" s="65"/>
      <c r="BC44" s="65"/>
      <c r="BD44" s="65"/>
      <c r="BE44" s="65"/>
      <c r="BF44" s="65"/>
      <c r="BG44" s="62"/>
      <c r="BH44" s="62"/>
    </row>
    <row r="45" spans="2:60" x14ac:dyDescent="0.25">
      <c r="B45" s="274">
        <v>2030</v>
      </c>
      <c r="C45" s="48">
        <f>+M10</f>
        <v>83397.600000000006</v>
      </c>
      <c r="D45" s="177">
        <f t="shared" si="74"/>
        <v>74776.64827297462</v>
      </c>
      <c r="E45" s="48">
        <f t="shared" si="70"/>
        <v>109526.61929816021</v>
      </c>
      <c r="F45" s="62">
        <v>0</v>
      </c>
      <c r="G45" s="62">
        <v>0</v>
      </c>
      <c r="H45" s="62">
        <v>0</v>
      </c>
      <c r="I45" s="62">
        <v>0</v>
      </c>
      <c r="J45" s="62">
        <v>0</v>
      </c>
      <c r="K45" s="62">
        <v>0</v>
      </c>
      <c r="L45" s="62">
        <v>0</v>
      </c>
      <c r="M45" s="62">
        <f>-PMT($M$14/2,$M$13*2,$M$10)</f>
        <v>5476.3309649080102</v>
      </c>
      <c r="N45" s="65">
        <f>+M45*2</f>
        <v>10952.66192981602</v>
      </c>
      <c r="O45" s="65">
        <f t="shared" si="68"/>
        <v>10952.66192981602</v>
      </c>
      <c r="P45" s="65">
        <f t="shared" si="69"/>
        <v>10952.66192981602</v>
      </c>
      <c r="Q45" s="65">
        <f t="shared" si="71"/>
        <v>10952.66192981602</v>
      </c>
      <c r="R45" s="65">
        <f t="shared" si="73"/>
        <v>10952.66192981602</v>
      </c>
      <c r="S45" s="65">
        <f t="shared" si="75"/>
        <v>10952.66192981602</v>
      </c>
      <c r="T45" s="65">
        <f t="shared" si="76"/>
        <v>10952.66192981602</v>
      </c>
      <c r="U45" s="65">
        <f t="shared" si="77"/>
        <v>10952.66192981602</v>
      </c>
      <c r="V45" s="65">
        <f t="shared" ref="V45:V51" si="78">+U45</f>
        <v>10952.66192981602</v>
      </c>
      <c r="W45" s="65">
        <f>+V45/2</f>
        <v>5476.3309649080102</v>
      </c>
      <c r="X45" s="65"/>
      <c r="Y45" s="65"/>
      <c r="Z45" s="65"/>
      <c r="AA45" s="65"/>
      <c r="AB45" s="65"/>
      <c r="AC45" s="65"/>
      <c r="AD45" s="65"/>
      <c r="AE45" s="65"/>
      <c r="AF45" s="66"/>
      <c r="AH45" s="62"/>
      <c r="AI45" s="62"/>
      <c r="AJ45" s="62"/>
      <c r="AK45" s="62"/>
      <c r="AL45" s="62"/>
      <c r="AM45" s="62"/>
      <c r="AN45" s="62"/>
      <c r="AO45" s="65"/>
      <c r="AP45" s="65"/>
      <c r="AQ45" s="65"/>
      <c r="AR45" s="65"/>
      <c r="AS45" s="65"/>
      <c r="AT45" s="65"/>
      <c r="AU45" s="65"/>
      <c r="AV45" s="65"/>
      <c r="AW45" s="65"/>
      <c r="AX45" s="65"/>
      <c r="AY45" s="65"/>
      <c r="AZ45" s="65"/>
      <c r="BA45" s="65"/>
      <c r="BB45" s="65"/>
      <c r="BC45" s="65"/>
      <c r="BD45" s="65"/>
      <c r="BE45" s="65"/>
      <c r="BF45" s="65"/>
      <c r="BG45" s="62"/>
      <c r="BH45" s="62"/>
    </row>
    <row r="46" spans="2:60" x14ac:dyDescent="0.25">
      <c r="B46" s="274">
        <v>2031</v>
      </c>
      <c r="C46" s="48">
        <f>+N10</f>
        <v>83397.600000000006</v>
      </c>
      <c r="D46" s="177">
        <f t="shared" si="74"/>
        <v>72419.057953310796</v>
      </c>
      <c r="E46" s="48">
        <f t="shared" si="70"/>
        <v>109870.84527682299</v>
      </c>
      <c r="F46" s="62">
        <v>0</v>
      </c>
      <c r="G46" s="62">
        <v>0</v>
      </c>
      <c r="H46" s="62">
        <v>0</v>
      </c>
      <c r="I46" s="62">
        <v>0</v>
      </c>
      <c r="J46" s="62">
        <v>0</v>
      </c>
      <c r="K46" s="62">
        <v>0</v>
      </c>
      <c r="L46" s="62">
        <v>0</v>
      </c>
      <c r="M46" s="62">
        <v>0</v>
      </c>
      <c r="N46" s="62">
        <f>-PMT($N$14/2,$N$13*2,$N$10)</f>
        <v>5493.5422638411501</v>
      </c>
      <c r="O46" s="65">
        <f>+N46*2</f>
        <v>10987.0845276823</v>
      </c>
      <c r="P46" s="65">
        <f t="shared" si="69"/>
        <v>10987.0845276823</v>
      </c>
      <c r="Q46" s="65">
        <f t="shared" si="71"/>
        <v>10987.0845276823</v>
      </c>
      <c r="R46" s="65">
        <f t="shared" si="73"/>
        <v>10987.0845276823</v>
      </c>
      <c r="S46" s="65">
        <f t="shared" si="75"/>
        <v>10987.0845276823</v>
      </c>
      <c r="T46" s="65">
        <f t="shared" si="76"/>
        <v>10987.0845276823</v>
      </c>
      <c r="U46" s="65">
        <f t="shared" si="77"/>
        <v>10987.0845276823</v>
      </c>
      <c r="V46" s="65">
        <f t="shared" si="78"/>
        <v>10987.0845276823</v>
      </c>
      <c r="W46" s="65">
        <f t="shared" ref="W46:W51" si="79">+V46</f>
        <v>10987.0845276823</v>
      </c>
      <c r="X46" s="65">
        <f>+W46/2</f>
        <v>5493.5422638411501</v>
      </c>
      <c r="Y46" s="65"/>
      <c r="Z46" s="65"/>
      <c r="AA46" s="65"/>
      <c r="AB46" s="65"/>
      <c r="AC46" s="65"/>
      <c r="AD46" s="65"/>
      <c r="AE46" s="65"/>
      <c r="AF46" s="66"/>
      <c r="AH46" s="62"/>
      <c r="AI46" s="62"/>
      <c r="AJ46" s="62"/>
      <c r="AK46" s="62"/>
      <c r="AL46" s="62"/>
      <c r="AM46" s="62"/>
      <c r="AN46" s="62"/>
      <c r="AO46" s="62"/>
      <c r="AP46" s="65"/>
      <c r="AQ46" s="65"/>
      <c r="AR46" s="65"/>
      <c r="AS46" s="65"/>
      <c r="AT46" s="65"/>
      <c r="AU46" s="65"/>
      <c r="AV46" s="65"/>
      <c r="AW46" s="65"/>
      <c r="AX46" s="65"/>
      <c r="AY46" s="65"/>
      <c r="AZ46" s="65"/>
      <c r="BA46" s="65"/>
      <c r="BB46" s="65"/>
      <c r="BC46" s="65"/>
      <c r="BD46" s="65"/>
      <c r="BE46" s="65"/>
      <c r="BF46" s="65"/>
      <c r="BG46" s="62"/>
      <c r="BH46" s="62"/>
    </row>
    <row r="47" spans="2:60" x14ac:dyDescent="0.25">
      <c r="B47" s="274">
        <v>2032</v>
      </c>
      <c r="C47" s="48">
        <f>+O10</f>
        <v>83397.600000000006</v>
      </c>
      <c r="D47" s="177">
        <f>NPV($G$17,H47:AF47)+F47+G47</f>
        <v>70110.320861239146</v>
      </c>
      <c r="E47" s="48">
        <f t="shared" si="70"/>
        <v>110176.11541589035</v>
      </c>
      <c r="F47" s="62">
        <v>0</v>
      </c>
      <c r="G47" s="62">
        <v>0</v>
      </c>
      <c r="H47" s="62">
        <v>0</v>
      </c>
      <c r="I47" s="62">
        <v>0</v>
      </c>
      <c r="J47" s="62">
        <v>0</v>
      </c>
      <c r="K47" s="62">
        <v>0</v>
      </c>
      <c r="L47" s="62">
        <v>0</v>
      </c>
      <c r="M47" s="62">
        <v>0</v>
      </c>
      <c r="N47" s="62">
        <v>0</v>
      </c>
      <c r="O47" s="62">
        <f>-PMT($O$14/2,$O$13*2,$O$10)</f>
        <v>5508.8057707945172</v>
      </c>
      <c r="P47" s="65">
        <f>+O47*2</f>
        <v>11017.611541589034</v>
      </c>
      <c r="Q47" s="65">
        <f t="shared" si="71"/>
        <v>11017.611541589034</v>
      </c>
      <c r="R47" s="65">
        <f t="shared" si="73"/>
        <v>11017.611541589034</v>
      </c>
      <c r="S47" s="65">
        <f t="shared" si="75"/>
        <v>11017.611541589034</v>
      </c>
      <c r="T47" s="65">
        <f t="shared" si="76"/>
        <v>11017.611541589034</v>
      </c>
      <c r="U47" s="65">
        <f t="shared" si="77"/>
        <v>11017.611541589034</v>
      </c>
      <c r="V47" s="65">
        <f t="shared" si="78"/>
        <v>11017.611541589034</v>
      </c>
      <c r="W47" s="65">
        <f t="shared" si="79"/>
        <v>11017.611541589034</v>
      </c>
      <c r="X47" s="65">
        <f t="shared" ref="X47:X51" si="80">+W47</f>
        <v>11017.611541589034</v>
      </c>
      <c r="Y47" s="65">
        <f>+X47/2</f>
        <v>5508.8057707945172</v>
      </c>
      <c r="Z47" s="65"/>
      <c r="AA47" s="65"/>
      <c r="AB47" s="65"/>
      <c r="AC47" s="65"/>
      <c r="AD47" s="65"/>
      <c r="AE47" s="65"/>
      <c r="AF47" s="66"/>
      <c r="AH47" s="62"/>
      <c r="AI47" s="62"/>
      <c r="AJ47" s="62"/>
      <c r="AK47" s="62"/>
      <c r="AL47" s="62"/>
      <c r="AM47" s="62"/>
      <c r="AN47" s="62"/>
      <c r="AO47" s="62"/>
      <c r="AP47" s="62"/>
      <c r="AQ47" s="65"/>
      <c r="AR47" s="65"/>
      <c r="AS47" s="65"/>
      <c r="AT47" s="65"/>
      <c r="AU47" s="65"/>
      <c r="AV47" s="65"/>
      <c r="AW47" s="65"/>
      <c r="AX47" s="65"/>
      <c r="AY47" s="65"/>
      <c r="AZ47" s="65"/>
      <c r="BA47" s="65"/>
      <c r="BB47" s="65"/>
      <c r="BC47" s="65"/>
      <c r="BD47" s="65"/>
      <c r="BE47" s="65"/>
      <c r="BF47" s="65"/>
      <c r="BG47" s="62"/>
      <c r="BH47" s="62"/>
    </row>
    <row r="48" spans="2:60" x14ac:dyDescent="0.25">
      <c r="B48" s="274">
        <v>2033</v>
      </c>
      <c r="C48" s="48">
        <f>+P10</f>
        <v>83397.600000000006</v>
      </c>
      <c r="D48" s="177">
        <f t="shared" si="74"/>
        <v>67857.256775646048</v>
      </c>
      <c r="E48" s="48">
        <f t="shared" si="70"/>
        <v>110453.0484493214</v>
      </c>
      <c r="F48" s="62">
        <v>0</v>
      </c>
      <c r="G48" s="62">
        <v>0</v>
      </c>
      <c r="H48" s="62">
        <v>0</v>
      </c>
      <c r="I48" s="62">
        <v>0</v>
      </c>
      <c r="J48" s="62">
        <v>0</v>
      </c>
      <c r="K48" s="62">
        <v>0</v>
      </c>
      <c r="L48" s="62">
        <v>0</v>
      </c>
      <c r="M48" s="62">
        <v>0</v>
      </c>
      <c r="N48" s="62">
        <v>0</v>
      </c>
      <c r="O48" s="62">
        <v>0</v>
      </c>
      <c r="P48" s="62">
        <f>-PMT($P$14/2,$P$13*2,$P$10)</f>
        <v>5522.6524224660707</v>
      </c>
      <c r="Q48" s="65">
        <f>+P48*2</f>
        <v>11045.304844932141</v>
      </c>
      <c r="R48" s="65">
        <f t="shared" si="73"/>
        <v>11045.304844932141</v>
      </c>
      <c r="S48" s="65">
        <f t="shared" si="75"/>
        <v>11045.304844932141</v>
      </c>
      <c r="T48" s="65">
        <f t="shared" si="76"/>
        <v>11045.304844932141</v>
      </c>
      <c r="U48" s="65">
        <f t="shared" si="77"/>
        <v>11045.304844932141</v>
      </c>
      <c r="V48" s="65">
        <f t="shared" si="78"/>
        <v>11045.304844932141</v>
      </c>
      <c r="W48" s="65">
        <f t="shared" si="79"/>
        <v>11045.304844932141</v>
      </c>
      <c r="X48" s="65">
        <f t="shared" si="80"/>
        <v>11045.304844932141</v>
      </c>
      <c r="Y48" s="65">
        <f t="shared" ref="Y48:Y51" si="81">+X48</f>
        <v>11045.304844932141</v>
      </c>
      <c r="Z48" s="65">
        <f>+Y48/2</f>
        <v>5522.6524224660707</v>
      </c>
      <c r="AA48" s="65"/>
      <c r="AB48" s="65"/>
      <c r="AC48" s="65"/>
      <c r="AD48" s="65"/>
      <c r="AE48" s="65"/>
      <c r="AF48" s="66"/>
      <c r="AH48" s="62"/>
      <c r="AI48" s="62"/>
      <c r="AJ48" s="62"/>
      <c r="AK48" s="62"/>
      <c r="AL48" s="62"/>
      <c r="AM48" s="62"/>
      <c r="AN48" s="62"/>
      <c r="AO48" s="62"/>
      <c r="AP48" s="62"/>
      <c r="AQ48" s="62"/>
      <c r="AR48" s="65"/>
      <c r="AS48" s="65"/>
      <c r="AT48" s="65"/>
      <c r="AU48" s="65"/>
      <c r="AV48" s="65"/>
      <c r="AW48" s="65"/>
      <c r="AX48" s="65"/>
      <c r="AY48" s="65"/>
      <c r="AZ48" s="65"/>
      <c r="BA48" s="65"/>
      <c r="BB48" s="65"/>
      <c r="BC48" s="65"/>
      <c r="BD48" s="65"/>
      <c r="BE48" s="65"/>
      <c r="BF48" s="65"/>
      <c r="BG48" s="62"/>
      <c r="BH48" s="62"/>
    </row>
    <row r="49" spans="2:60" x14ac:dyDescent="0.25">
      <c r="B49" s="274">
        <v>2034</v>
      </c>
      <c r="C49" s="48">
        <f>+Q10</f>
        <v>83397.600000000006</v>
      </c>
      <c r="D49" s="177">
        <f>NPV($G$17,H49:AF49)+F49+G49</f>
        <v>65500.342315750066</v>
      </c>
      <c r="E49" s="48">
        <f t="shared" si="70"/>
        <v>110433.51214336853</v>
      </c>
      <c r="F49" s="62">
        <v>0</v>
      </c>
      <c r="G49" s="62">
        <v>0</v>
      </c>
      <c r="H49" s="62">
        <v>0</v>
      </c>
      <c r="I49" s="62">
        <v>0</v>
      </c>
      <c r="J49" s="62">
        <v>0</v>
      </c>
      <c r="K49" s="62">
        <v>0</v>
      </c>
      <c r="L49" s="62">
        <v>0</v>
      </c>
      <c r="M49" s="62">
        <v>0</v>
      </c>
      <c r="N49" s="62">
        <v>0</v>
      </c>
      <c r="O49" s="62">
        <v>0</v>
      </c>
      <c r="P49" s="62">
        <v>0</v>
      </c>
      <c r="Q49" s="65">
        <f>-PMT(Q14/2,Q13*2,Q10)</f>
        <v>5521.6756071684258</v>
      </c>
      <c r="R49" s="65">
        <f>+Q49*2</f>
        <v>11043.351214336852</v>
      </c>
      <c r="S49" s="65">
        <f t="shared" si="75"/>
        <v>11043.351214336852</v>
      </c>
      <c r="T49" s="65">
        <f t="shared" si="76"/>
        <v>11043.351214336852</v>
      </c>
      <c r="U49" s="65">
        <f t="shared" si="77"/>
        <v>11043.351214336852</v>
      </c>
      <c r="V49" s="65">
        <f t="shared" si="78"/>
        <v>11043.351214336852</v>
      </c>
      <c r="W49" s="65">
        <f t="shared" si="79"/>
        <v>11043.351214336852</v>
      </c>
      <c r="X49" s="65">
        <f t="shared" si="80"/>
        <v>11043.351214336852</v>
      </c>
      <c r="Y49" s="65">
        <f t="shared" si="81"/>
        <v>11043.351214336852</v>
      </c>
      <c r="Z49" s="65">
        <f t="shared" ref="Z49:Z51" si="82">+Y49</f>
        <v>11043.351214336852</v>
      </c>
      <c r="AA49" s="65">
        <f>Z49/2</f>
        <v>5521.6756071684258</v>
      </c>
      <c r="AB49" s="65"/>
      <c r="AC49" s="65"/>
      <c r="AD49" s="65"/>
      <c r="AE49" s="65"/>
      <c r="AF49" s="66"/>
      <c r="AH49" s="62"/>
      <c r="AI49" s="62"/>
      <c r="AJ49" s="62"/>
      <c r="AK49" s="62"/>
      <c r="AL49" s="62"/>
      <c r="AM49" s="62"/>
      <c r="AN49" s="62"/>
      <c r="AO49" s="62"/>
      <c r="AP49" s="62"/>
      <c r="AQ49" s="62"/>
      <c r="AR49" s="65"/>
      <c r="AS49" s="65"/>
      <c r="AT49" s="65"/>
      <c r="AU49" s="65"/>
      <c r="AV49" s="65"/>
      <c r="AW49" s="65"/>
      <c r="AX49" s="65"/>
      <c r="AY49" s="65"/>
      <c r="AZ49" s="65"/>
      <c r="BA49" s="65"/>
      <c r="BB49" s="65"/>
      <c r="BC49" s="65"/>
      <c r="BD49" s="65"/>
      <c r="BE49" s="65"/>
      <c r="BF49" s="65"/>
      <c r="BG49" s="62"/>
      <c r="BH49" s="62"/>
    </row>
    <row r="50" spans="2:60" x14ac:dyDescent="0.25">
      <c r="B50" s="274">
        <v>2035</v>
      </c>
      <c r="C50" s="48">
        <f>R10</f>
        <v>0</v>
      </c>
      <c r="D50" s="177">
        <f t="shared" si="74"/>
        <v>0</v>
      </c>
      <c r="E50" s="48">
        <f t="shared" si="70"/>
        <v>0</v>
      </c>
      <c r="F50" s="62">
        <v>0</v>
      </c>
      <c r="G50" s="62">
        <v>0</v>
      </c>
      <c r="H50" s="62">
        <v>0</v>
      </c>
      <c r="I50" s="62">
        <v>0</v>
      </c>
      <c r="J50" s="62">
        <v>0</v>
      </c>
      <c r="K50" s="62">
        <v>0</v>
      </c>
      <c r="L50" s="62">
        <v>0</v>
      </c>
      <c r="M50" s="62">
        <v>0</v>
      </c>
      <c r="N50" s="62">
        <v>0</v>
      </c>
      <c r="O50" s="62">
        <v>0</v>
      </c>
      <c r="P50" s="62">
        <v>0</v>
      </c>
      <c r="Q50" s="62">
        <v>0</v>
      </c>
      <c r="R50" s="65">
        <f>-PMT(R14/2,R13*2,R10)</f>
        <v>0</v>
      </c>
      <c r="S50" s="65">
        <f>+R50*2</f>
        <v>0</v>
      </c>
      <c r="T50" s="65">
        <f t="shared" si="76"/>
        <v>0</v>
      </c>
      <c r="U50" s="65">
        <f t="shared" si="77"/>
        <v>0</v>
      </c>
      <c r="V50" s="65">
        <f t="shared" si="78"/>
        <v>0</v>
      </c>
      <c r="W50" s="65">
        <f t="shared" si="79"/>
        <v>0</v>
      </c>
      <c r="X50" s="65">
        <f t="shared" si="80"/>
        <v>0</v>
      </c>
      <c r="Y50" s="65">
        <f t="shared" si="81"/>
        <v>0</v>
      </c>
      <c r="Z50" s="65">
        <f t="shared" si="82"/>
        <v>0</v>
      </c>
      <c r="AA50" s="65">
        <f t="shared" ref="AA50:AA51" si="83">+Z50</f>
        <v>0</v>
      </c>
      <c r="AB50" s="65">
        <f>AA50/2</f>
        <v>0</v>
      </c>
      <c r="AC50" s="65"/>
      <c r="AD50" s="65"/>
      <c r="AE50" s="65"/>
      <c r="AF50" s="66"/>
      <c r="AH50" s="62"/>
      <c r="AI50" s="62"/>
      <c r="AJ50" s="62"/>
      <c r="AK50" s="62"/>
      <c r="AL50" s="62"/>
      <c r="AM50" s="62"/>
      <c r="AN50" s="62"/>
      <c r="AO50" s="62"/>
      <c r="AP50" s="62"/>
      <c r="AQ50" s="62"/>
      <c r="AR50" s="62"/>
      <c r="AS50" s="65"/>
      <c r="AT50" s="65"/>
      <c r="AU50" s="65"/>
      <c r="AV50" s="65"/>
      <c r="AW50" s="65"/>
      <c r="AX50" s="65"/>
      <c r="AY50" s="65"/>
      <c r="AZ50" s="65"/>
      <c r="BA50" s="65"/>
      <c r="BB50" s="65"/>
      <c r="BC50" s="65"/>
      <c r="BD50" s="65"/>
      <c r="BE50" s="65"/>
      <c r="BF50" s="65"/>
      <c r="BG50" s="62"/>
      <c r="BH50" s="62"/>
    </row>
    <row r="51" spans="2:60" x14ac:dyDescent="0.25">
      <c r="B51" s="274">
        <v>2036</v>
      </c>
      <c r="C51" s="48">
        <f>S10</f>
        <v>0</v>
      </c>
      <c r="D51" s="177">
        <f t="shared" si="74"/>
        <v>0</v>
      </c>
      <c r="E51" s="48">
        <f t="shared" si="70"/>
        <v>0</v>
      </c>
      <c r="F51" s="62">
        <v>0</v>
      </c>
      <c r="G51" s="62">
        <v>0</v>
      </c>
      <c r="H51" s="62">
        <v>0</v>
      </c>
      <c r="I51" s="62">
        <v>0</v>
      </c>
      <c r="J51" s="62">
        <v>0</v>
      </c>
      <c r="K51" s="62">
        <v>0</v>
      </c>
      <c r="L51" s="62">
        <v>0</v>
      </c>
      <c r="M51" s="62">
        <v>0</v>
      </c>
      <c r="N51" s="62">
        <v>0</v>
      </c>
      <c r="O51" s="62">
        <v>0</v>
      </c>
      <c r="P51" s="62">
        <v>0</v>
      </c>
      <c r="Q51" s="62">
        <v>0</v>
      </c>
      <c r="R51" s="62">
        <v>0</v>
      </c>
      <c r="S51" s="65">
        <f>-PMT(S14/2,S13*2,S10)</f>
        <v>0</v>
      </c>
      <c r="T51" s="65">
        <f>+S51*2</f>
        <v>0</v>
      </c>
      <c r="U51" s="65">
        <f t="shared" si="77"/>
        <v>0</v>
      </c>
      <c r="V51" s="65">
        <f t="shared" si="78"/>
        <v>0</v>
      </c>
      <c r="W51" s="65">
        <f t="shared" si="79"/>
        <v>0</v>
      </c>
      <c r="X51" s="65">
        <f t="shared" si="80"/>
        <v>0</v>
      </c>
      <c r="Y51" s="65">
        <f t="shared" si="81"/>
        <v>0</v>
      </c>
      <c r="Z51" s="65">
        <f t="shared" si="82"/>
        <v>0</v>
      </c>
      <c r="AA51" s="65">
        <f t="shared" si="83"/>
        <v>0</v>
      </c>
      <c r="AB51" s="65">
        <f t="shared" ref="AB51" si="84">+AA51</f>
        <v>0</v>
      </c>
      <c r="AC51" s="65">
        <f>AB51/2</f>
        <v>0</v>
      </c>
      <c r="AD51" s="65"/>
      <c r="AE51" s="65"/>
      <c r="AF51" s="66"/>
      <c r="AH51" s="62"/>
      <c r="AI51" s="62"/>
      <c r="AJ51" s="62"/>
      <c r="AK51" s="62"/>
      <c r="AL51" s="62"/>
      <c r="AM51" s="62"/>
      <c r="AN51" s="62"/>
      <c r="AO51" s="62"/>
      <c r="AP51" s="62"/>
      <c r="AQ51" s="62"/>
      <c r="AR51" s="62"/>
      <c r="AS51" s="62"/>
      <c r="AT51" s="65"/>
      <c r="AU51" s="65"/>
      <c r="AV51" s="65"/>
      <c r="AW51" s="65"/>
      <c r="AX51" s="65"/>
      <c r="AY51" s="65"/>
      <c r="AZ51" s="65"/>
      <c r="BA51" s="65"/>
      <c r="BB51" s="65"/>
      <c r="BC51" s="65"/>
      <c r="BD51" s="65"/>
      <c r="BE51" s="65"/>
      <c r="BF51" s="65"/>
      <c r="BG51" s="62"/>
      <c r="BH51" s="62"/>
    </row>
    <row r="52" spans="2:60" x14ac:dyDescent="0.25">
      <c r="B52" s="67" t="s">
        <v>84</v>
      </c>
      <c r="C52" s="68">
        <f>SUM(C39:C51)</f>
        <v>478905.70039605023</v>
      </c>
      <c r="D52" s="261">
        <f>SUM(D39:D51)</f>
        <v>412379.13177683414</v>
      </c>
      <c r="E52" s="68">
        <f>SUM(E39:E51)</f>
        <v>630211.99388742913</v>
      </c>
      <c r="F52" s="68">
        <f t="shared" ref="F52:AF52" si="85">SUM(F39:F51)</f>
        <v>0</v>
      </c>
      <c r="G52" s="68">
        <f t="shared" si="85"/>
        <v>406.16941478719389</v>
      </c>
      <c r="H52" s="68">
        <f t="shared" si="85"/>
        <v>1692.6653541355904</v>
      </c>
      <c r="I52" s="68">
        <f t="shared" si="85"/>
        <v>3469.9356156535614</v>
      </c>
      <c r="J52" s="68">
        <f t="shared" si="85"/>
        <v>4963.920843679135</v>
      </c>
      <c r="K52" s="68">
        <f t="shared" si="85"/>
        <v>6162.8804195955154</v>
      </c>
      <c r="L52" s="68">
        <f t="shared" si="85"/>
        <v>7369.9919174148299</v>
      </c>
      <c r="M52" s="68">
        <f t="shared" si="85"/>
        <v>13451.516295294579</v>
      </c>
      <c r="N52" s="68">
        <f t="shared" si="85"/>
        <v>24421.389524043738</v>
      </c>
      <c r="O52" s="68">
        <f t="shared" si="85"/>
        <v>35423.737558679408</v>
      </c>
      <c r="P52" s="68">
        <f t="shared" si="85"/>
        <v>46455.195751939988</v>
      </c>
      <c r="Q52" s="68">
        <f t="shared" si="85"/>
        <v>57093.354366787302</v>
      </c>
      <c r="R52" s="68">
        <f t="shared" si="85"/>
        <v>61328.534034607321</v>
      </c>
      <c r="S52" s="68">
        <f t="shared" si="85"/>
        <v>59551.263773089355</v>
      </c>
      <c r="T52" s="68">
        <f t="shared" si="85"/>
        <v>58057.278545063782</v>
      </c>
      <c r="U52" s="68">
        <f t="shared" si="85"/>
        <v>56858.318969147396</v>
      </c>
      <c r="V52" s="68">
        <f t="shared" si="85"/>
        <v>55651.207471328089</v>
      </c>
      <c r="W52" s="68">
        <f t="shared" si="85"/>
        <v>49569.683093448337</v>
      </c>
      <c r="X52" s="68">
        <f t="shared" si="85"/>
        <v>38599.809864699178</v>
      </c>
      <c r="Y52" s="68">
        <f t="shared" si="85"/>
        <v>27597.461830063512</v>
      </c>
      <c r="Z52" s="68">
        <f t="shared" si="85"/>
        <v>16566.003636802921</v>
      </c>
      <c r="AA52" s="68">
        <f t="shared" si="85"/>
        <v>5521.6756071684258</v>
      </c>
      <c r="AB52" s="68">
        <f t="shared" si="85"/>
        <v>0</v>
      </c>
      <c r="AC52" s="68">
        <f t="shared" si="85"/>
        <v>0</v>
      </c>
      <c r="AD52" s="68">
        <f t="shared" si="85"/>
        <v>0</v>
      </c>
      <c r="AE52" s="68">
        <f t="shared" si="85"/>
        <v>0</v>
      </c>
      <c r="AF52" s="69">
        <f t="shared" si="85"/>
        <v>0</v>
      </c>
      <c r="AH52" s="68"/>
      <c r="AI52" s="68"/>
      <c r="AJ52" s="68"/>
      <c r="AK52" s="68"/>
      <c r="AL52" s="68"/>
      <c r="AM52" s="68"/>
      <c r="AN52" s="68"/>
      <c r="AO52" s="68"/>
      <c r="AP52" s="68"/>
      <c r="AQ52" s="68"/>
      <c r="AR52" s="68"/>
      <c r="AS52" s="68"/>
      <c r="AT52" s="68"/>
      <c r="AU52" s="68"/>
      <c r="AV52" s="68"/>
      <c r="AW52" s="68"/>
      <c r="AX52" s="68"/>
      <c r="AY52" s="68"/>
      <c r="AZ52" s="68"/>
      <c r="BA52" s="68"/>
      <c r="BB52" s="68"/>
      <c r="BC52" s="68"/>
      <c r="BD52" s="68"/>
      <c r="BE52" s="68"/>
      <c r="BF52" s="68"/>
      <c r="BG52" s="62"/>
      <c r="BH52" s="62"/>
    </row>
    <row r="53" spans="2:60" x14ac:dyDescent="0.25">
      <c r="B53" s="44"/>
      <c r="C53" s="68"/>
      <c r="D53" s="261"/>
      <c r="E53" s="68"/>
      <c r="F53" s="68"/>
      <c r="G53" s="68"/>
      <c r="H53" s="68"/>
      <c r="I53" s="68"/>
      <c r="J53" s="68"/>
      <c r="K53" s="68"/>
      <c r="L53" s="68"/>
      <c r="M53" s="68"/>
      <c r="N53" s="68"/>
      <c r="O53" s="68"/>
      <c r="P53" s="68"/>
      <c r="Q53" s="68"/>
      <c r="R53" s="68"/>
      <c r="S53" s="68"/>
      <c r="T53" s="68"/>
      <c r="U53" s="68"/>
      <c r="V53" s="68"/>
      <c r="W53" s="68"/>
      <c r="X53" s="68"/>
      <c r="Y53" s="68"/>
      <c r="Z53" s="68"/>
      <c r="AA53" s="68"/>
      <c r="AB53" s="68"/>
      <c r="AC53" s="68"/>
      <c r="AD53" s="68"/>
      <c r="AE53" s="68"/>
      <c r="AF53" s="69"/>
      <c r="AH53" s="68"/>
      <c r="AI53" s="68"/>
      <c r="AJ53" s="68"/>
      <c r="AK53" s="68"/>
      <c r="AL53" s="68"/>
      <c r="AM53" s="68"/>
      <c r="AN53" s="68"/>
      <c r="AO53" s="68"/>
      <c r="AP53" s="68"/>
      <c r="AQ53" s="68"/>
      <c r="AR53" s="68"/>
      <c r="AS53" s="68"/>
      <c r="AT53" s="68"/>
      <c r="AU53" s="68"/>
      <c r="AV53" s="68"/>
      <c r="AW53" s="68"/>
      <c r="AX53" s="68"/>
      <c r="AY53" s="68"/>
      <c r="AZ53" s="68"/>
      <c r="BA53" s="68"/>
      <c r="BB53" s="68"/>
      <c r="BC53" s="68"/>
      <c r="BD53" s="68"/>
      <c r="BE53" s="68"/>
      <c r="BF53" s="68"/>
      <c r="BG53" s="62"/>
      <c r="BH53" s="62"/>
    </row>
    <row r="54" spans="2:60" x14ac:dyDescent="0.25">
      <c r="B54" s="67" t="s">
        <v>65</v>
      </c>
      <c r="C54" s="68">
        <f>+C52</f>
        <v>478905.70039605023</v>
      </c>
      <c r="D54" s="68">
        <f t="shared" ref="D54:AF54" si="86">+D52</f>
        <v>412379.13177683414</v>
      </c>
      <c r="E54" s="68">
        <f t="shared" si="86"/>
        <v>630211.99388742913</v>
      </c>
      <c r="F54" s="68">
        <f t="shared" si="86"/>
        <v>0</v>
      </c>
      <c r="G54" s="68">
        <f t="shared" si="86"/>
        <v>406.16941478719389</v>
      </c>
      <c r="H54" s="68">
        <f t="shared" si="86"/>
        <v>1692.6653541355904</v>
      </c>
      <c r="I54" s="68">
        <f t="shared" si="86"/>
        <v>3469.9356156535614</v>
      </c>
      <c r="J54" s="68">
        <f t="shared" si="86"/>
        <v>4963.920843679135</v>
      </c>
      <c r="K54" s="68">
        <f t="shared" si="86"/>
        <v>6162.8804195955154</v>
      </c>
      <c r="L54" s="68">
        <f t="shared" si="86"/>
        <v>7369.9919174148299</v>
      </c>
      <c r="M54" s="68">
        <f t="shared" si="86"/>
        <v>13451.516295294579</v>
      </c>
      <c r="N54" s="68">
        <f t="shared" si="86"/>
        <v>24421.389524043738</v>
      </c>
      <c r="O54" s="68">
        <f t="shared" si="86"/>
        <v>35423.737558679408</v>
      </c>
      <c r="P54" s="68">
        <f t="shared" si="86"/>
        <v>46455.195751939988</v>
      </c>
      <c r="Q54" s="68">
        <f t="shared" si="86"/>
        <v>57093.354366787302</v>
      </c>
      <c r="R54" s="68">
        <f t="shared" si="86"/>
        <v>61328.534034607321</v>
      </c>
      <c r="S54" s="68">
        <f t="shared" si="86"/>
        <v>59551.263773089355</v>
      </c>
      <c r="T54" s="68">
        <f t="shared" si="86"/>
        <v>58057.278545063782</v>
      </c>
      <c r="U54" s="68">
        <f t="shared" si="86"/>
        <v>56858.318969147396</v>
      </c>
      <c r="V54" s="68">
        <f t="shared" si="86"/>
        <v>55651.207471328089</v>
      </c>
      <c r="W54" s="68">
        <f t="shared" si="86"/>
        <v>49569.683093448337</v>
      </c>
      <c r="X54" s="68">
        <f t="shared" si="86"/>
        <v>38599.809864699178</v>
      </c>
      <c r="Y54" s="68">
        <f t="shared" si="86"/>
        <v>27597.461830063512</v>
      </c>
      <c r="Z54" s="68">
        <f t="shared" si="86"/>
        <v>16566.003636802921</v>
      </c>
      <c r="AA54" s="68">
        <f t="shared" si="86"/>
        <v>5521.6756071684258</v>
      </c>
      <c r="AB54" s="68">
        <f t="shared" si="86"/>
        <v>0</v>
      </c>
      <c r="AC54" s="68">
        <f t="shared" si="86"/>
        <v>0</v>
      </c>
      <c r="AD54" s="68">
        <f t="shared" si="86"/>
        <v>0</v>
      </c>
      <c r="AE54" s="68">
        <f t="shared" si="86"/>
        <v>0</v>
      </c>
      <c r="AF54" s="69">
        <f t="shared" si="86"/>
        <v>0</v>
      </c>
      <c r="AH54" s="68"/>
      <c r="AI54" s="68"/>
      <c r="AJ54" s="68"/>
      <c r="AK54" s="68"/>
      <c r="AL54" s="68"/>
      <c r="AM54" s="68"/>
      <c r="AN54" s="68"/>
      <c r="AO54" s="68"/>
      <c r="AP54" s="68"/>
      <c r="AQ54" s="68"/>
      <c r="AR54" s="68"/>
      <c r="AS54" s="68"/>
      <c r="AT54" s="68"/>
      <c r="AU54" s="68"/>
      <c r="AV54" s="68"/>
      <c r="AW54" s="68"/>
      <c r="AX54" s="68"/>
      <c r="AY54" s="68"/>
      <c r="AZ54" s="68"/>
      <c r="BA54" s="68"/>
      <c r="BB54" s="68"/>
      <c r="BC54" s="68"/>
      <c r="BD54" s="68"/>
      <c r="BE54" s="68"/>
      <c r="BF54" s="68"/>
    </row>
    <row r="55" spans="2:60" x14ac:dyDescent="0.25">
      <c r="B55" s="72"/>
      <c r="C55" s="55"/>
      <c r="D55" s="262"/>
      <c r="E55" s="55"/>
      <c r="F55" s="55"/>
      <c r="G55" s="55"/>
      <c r="H55" s="73"/>
      <c r="I55" s="73"/>
      <c r="J55" s="74"/>
      <c r="K55" s="74"/>
      <c r="L55" s="74"/>
      <c r="M55" s="74"/>
      <c r="N55" s="74"/>
      <c r="O55" s="74"/>
      <c r="P55" s="74"/>
      <c r="Q55" s="74"/>
      <c r="R55" s="74"/>
      <c r="S55" s="74"/>
      <c r="T55" s="74"/>
      <c r="U55" s="74"/>
      <c r="V55" s="74"/>
      <c r="W55" s="74"/>
      <c r="X55" s="74"/>
      <c r="Y55" s="74"/>
      <c r="Z55" s="74"/>
      <c r="AA55" s="74"/>
      <c r="AB55" s="74"/>
      <c r="AC55" s="74"/>
      <c r="AD55" s="74"/>
      <c r="AE55" s="74"/>
      <c r="AF55" s="75"/>
      <c r="AG55" s="83"/>
      <c r="AH55" s="55"/>
      <c r="AI55" s="73"/>
      <c r="AJ55" s="73"/>
      <c r="AK55" s="74"/>
      <c r="AL55" s="74"/>
      <c r="AM55" s="74"/>
      <c r="AN55" s="74"/>
      <c r="AO55" s="74"/>
      <c r="AP55" s="74"/>
      <c r="AQ55" s="74"/>
      <c r="AR55" s="74"/>
      <c r="AS55" s="74"/>
      <c r="AT55" s="74"/>
      <c r="AU55" s="74"/>
      <c r="AV55" s="74"/>
      <c r="AW55" s="74"/>
      <c r="AX55" s="74"/>
      <c r="AY55" s="74"/>
      <c r="AZ55" s="74"/>
      <c r="BA55" s="74"/>
      <c r="BB55" s="74"/>
      <c r="BC55" s="74"/>
      <c r="BD55" s="74"/>
      <c r="BE55" s="74"/>
      <c r="BF55" s="74"/>
    </row>
    <row r="56" spans="2:60" x14ac:dyDescent="0.25">
      <c r="D56" s="173"/>
      <c r="H56" s="62"/>
      <c r="I56" s="62"/>
      <c r="J56" s="65"/>
      <c r="K56" s="65"/>
      <c r="L56" s="65"/>
      <c r="M56" s="65"/>
      <c r="N56" s="65"/>
      <c r="O56" s="65"/>
      <c r="P56" s="65"/>
      <c r="Q56" s="65"/>
      <c r="R56" s="65"/>
      <c r="S56" s="65"/>
      <c r="T56" s="65"/>
      <c r="U56" s="65"/>
      <c r="V56" s="65"/>
      <c r="W56" s="65"/>
      <c r="X56" s="65"/>
      <c r="Y56" s="65"/>
      <c r="Z56" s="65"/>
      <c r="AA56" s="65"/>
      <c r="AB56" s="65"/>
      <c r="AC56" s="65"/>
      <c r="AD56" s="65"/>
      <c r="AE56" s="65"/>
      <c r="AF56" s="65"/>
      <c r="AG56" s="83"/>
      <c r="AI56" s="62"/>
      <c r="AJ56" s="62"/>
      <c r="AK56" s="65"/>
      <c r="AL56" s="65"/>
      <c r="AM56" s="65"/>
      <c r="AN56" s="65"/>
      <c r="AO56" s="65"/>
      <c r="AP56" s="65"/>
      <c r="AQ56" s="65"/>
      <c r="AR56" s="65"/>
      <c r="AS56" s="65"/>
      <c r="AT56" s="65"/>
      <c r="AU56" s="65"/>
      <c r="AV56" s="65"/>
      <c r="AW56" s="65"/>
      <c r="AX56" s="65"/>
      <c r="AY56" s="65"/>
      <c r="AZ56" s="65"/>
      <c r="BA56" s="65"/>
      <c r="BB56" s="65"/>
      <c r="BC56" s="65"/>
      <c r="BD56" s="65"/>
      <c r="BE56" s="65"/>
      <c r="BF56" s="65"/>
    </row>
    <row r="57" spans="2:60" x14ac:dyDescent="0.25">
      <c r="B57" s="84" t="s">
        <v>87</v>
      </c>
      <c r="C57" s="181">
        <f>C33+C54</f>
        <v>478905.70039605023</v>
      </c>
      <c r="D57" s="263">
        <f t="shared" ref="D57:AF57" si="87">D31+D52</f>
        <v>412379.13177683414</v>
      </c>
      <c r="E57" s="181">
        <f t="shared" si="87"/>
        <v>630211.99388742913</v>
      </c>
      <c r="F57" s="181">
        <f t="shared" si="87"/>
        <v>0</v>
      </c>
      <c r="G57" s="181">
        <f t="shared" si="87"/>
        <v>406.16941478719389</v>
      </c>
      <c r="H57" s="181">
        <f t="shared" si="87"/>
        <v>1692.6653541355904</v>
      </c>
      <c r="I57" s="181">
        <f t="shared" si="87"/>
        <v>3469.9356156535614</v>
      </c>
      <c r="J57" s="181">
        <f t="shared" si="87"/>
        <v>4963.920843679135</v>
      </c>
      <c r="K57" s="181">
        <f t="shared" si="87"/>
        <v>6162.8804195955154</v>
      </c>
      <c r="L57" s="181">
        <f t="shared" si="87"/>
        <v>7369.9919174148299</v>
      </c>
      <c r="M57" s="181">
        <f t="shared" si="87"/>
        <v>13451.516295294579</v>
      </c>
      <c r="N57" s="181">
        <f t="shared" si="87"/>
        <v>24421.389524043738</v>
      </c>
      <c r="O57" s="181">
        <f t="shared" si="87"/>
        <v>35423.737558679408</v>
      </c>
      <c r="P57" s="181">
        <f t="shared" si="87"/>
        <v>46455.195751939988</v>
      </c>
      <c r="Q57" s="181">
        <f t="shared" si="87"/>
        <v>57093.354366787302</v>
      </c>
      <c r="R57" s="181">
        <f t="shared" si="87"/>
        <v>61328.534034607321</v>
      </c>
      <c r="S57" s="181">
        <f t="shared" si="87"/>
        <v>59551.263773089355</v>
      </c>
      <c r="T57" s="181">
        <f t="shared" si="87"/>
        <v>58057.278545063782</v>
      </c>
      <c r="U57" s="181">
        <f t="shared" si="87"/>
        <v>56858.318969147396</v>
      </c>
      <c r="V57" s="181">
        <f t="shared" si="87"/>
        <v>55651.207471328089</v>
      </c>
      <c r="W57" s="181">
        <f t="shared" si="87"/>
        <v>49569.683093448337</v>
      </c>
      <c r="X57" s="181">
        <f t="shared" si="87"/>
        <v>38599.809864699178</v>
      </c>
      <c r="Y57" s="181">
        <f t="shared" si="87"/>
        <v>27597.461830063512</v>
      </c>
      <c r="Z57" s="181">
        <f t="shared" si="87"/>
        <v>16566.003636802921</v>
      </c>
      <c r="AA57" s="181">
        <f t="shared" si="87"/>
        <v>5521.6756071684258</v>
      </c>
      <c r="AB57" s="181">
        <f t="shared" si="87"/>
        <v>0</v>
      </c>
      <c r="AC57" s="181">
        <f t="shared" si="87"/>
        <v>0</v>
      </c>
      <c r="AD57" s="181">
        <f t="shared" si="87"/>
        <v>0</v>
      </c>
      <c r="AE57" s="181">
        <f t="shared" si="87"/>
        <v>0</v>
      </c>
      <c r="AF57" s="182">
        <f t="shared" si="87"/>
        <v>0</v>
      </c>
      <c r="AG57" s="83"/>
      <c r="AI57" s="62"/>
      <c r="AJ57" s="62"/>
      <c r="AK57" s="65"/>
      <c r="AL57" s="65"/>
      <c r="AM57" s="65"/>
      <c r="AN57" s="65"/>
      <c r="AO57" s="65"/>
      <c r="AP57" s="65"/>
      <c r="AQ57" s="65"/>
      <c r="AR57" s="65"/>
      <c r="AS57" s="65"/>
      <c r="AT57" s="65"/>
      <c r="AU57" s="65"/>
      <c r="AV57" s="65"/>
      <c r="AW57" s="65"/>
      <c r="AX57" s="65"/>
      <c r="AY57" s="65"/>
      <c r="AZ57" s="65"/>
      <c r="BA57" s="65"/>
      <c r="BB57" s="65"/>
      <c r="BC57" s="65"/>
      <c r="BD57" s="65"/>
      <c r="BE57" s="65"/>
      <c r="BF57" s="65"/>
    </row>
    <row r="58" spans="2:60" x14ac:dyDescent="0.25">
      <c r="D58" s="173"/>
      <c r="E58" s="48"/>
      <c r="F58" s="48"/>
      <c r="H58" s="62"/>
      <c r="I58" s="62"/>
      <c r="J58" s="65"/>
      <c r="K58" s="65"/>
      <c r="L58" s="65"/>
      <c r="M58" s="65"/>
      <c r="N58" s="65"/>
      <c r="O58" s="65"/>
      <c r="P58" s="65"/>
      <c r="Q58" s="65"/>
      <c r="R58" s="65"/>
      <c r="S58" s="65"/>
      <c r="T58" s="65"/>
      <c r="U58" s="65"/>
      <c r="V58" s="65"/>
      <c r="W58" s="65"/>
      <c r="X58" s="65"/>
      <c r="Y58" s="65"/>
      <c r="Z58" s="65"/>
      <c r="AA58" s="65"/>
      <c r="AB58" s="65"/>
      <c r="AC58" s="65"/>
      <c r="AD58" s="65"/>
      <c r="AE58" s="65"/>
      <c r="AF58" s="65"/>
      <c r="AG58" s="83"/>
    </row>
    <row r="59" spans="2:60" x14ac:dyDescent="0.25">
      <c r="B59" s="84" t="s">
        <v>88</v>
      </c>
      <c r="C59" s="142">
        <f>'Tab 3 - WTP Historic '!C13+'Tab 3 - WTP Historic '!D21</f>
        <v>86177.658081421789</v>
      </c>
      <c r="D59" s="264">
        <f>NPV($G$17,H59:AF59)+F59+G59</f>
        <v>128663.4421064512</v>
      </c>
      <c r="E59" s="85">
        <f>SUM(F59:AF59)</f>
        <v>138336.13660097466</v>
      </c>
      <c r="F59" s="85">
        <f>SUM('Tab 3 - WTP Historic '!E13:Z13)+SUM('Tab 3 - WTP Historic '!E24:Z24)</f>
        <v>79172.616325476221</v>
      </c>
      <c r="G59" s="85">
        <f>'Tab 3 - WTP Historic '!AA13+'Tab 3 - WTP Historic '!AA24</f>
        <v>5235.9701435073293</v>
      </c>
      <c r="H59" s="85">
        <f>'Tab 3 - WTP Historic '!AB13+'Tab 3 - WTP Historic '!AB24</f>
        <v>5235.9667663508335</v>
      </c>
      <c r="I59" s="85">
        <f>'Tab 3 - WTP Historic '!AC13+'Tab 3 - WTP Historic '!AC24</f>
        <v>5235.9633389787123</v>
      </c>
      <c r="J59" s="85">
        <f>'Tab 3 - WTP Historic '!AD13+'Tab 3 - WTP Historic '!AD24</f>
        <v>5235.9598313793076</v>
      </c>
      <c r="K59" s="85">
        <f>'Tab 3 - WTP Historic '!AE13+'Tab 3 - WTP Historic '!AE24</f>
        <v>5235.95622355262</v>
      </c>
      <c r="L59" s="85">
        <f>'Tab 3 - WTP Historic '!AF13+'Tab 3 - WTP Historic '!AF24</f>
        <v>5217.2433354811665</v>
      </c>
      <c r="M59" s="85">
        <f>'Tab 3 - WTP Historic '!AG13+'Tab 3 - WTP Historic '!AG24</f>
        <v>5198.5307971591192</v>
      </c>
      <c r="N59" s="85">
        <f>'Tab 3 - WTP Historic '!AH13+'Tab 3 - WTP Historic '!AH24</f>
        <v>5167.539208586476</v>
      </c>
      <c r="O59" s="85">
        <f>'Tab 3 - WTP Historic '!AI13+'Tab 3 - WTP Historic '!AI24</f>
        <v>5158.228757487791</v>
      </c>
      <c r="P59" s="85">
        <f>'Tab 3 - WTP Historic '!AJ13+'Tab 3 - WTP Historic '!AJ24</f>
        <v>4356.8954263665837</v>
      </c>
      <c r="Q59" s="85">
        <f>'Tab 3 - WTP Historic '!AK13+'Tab 3 - WTP Historic '!AK24</f>
        <v>3268.02265407186</v>
      </c>
      <c r="R59" s="85">
        <f>'Tab 3 - WTP Historic '!AL13+'Tab 3 - WTP Historic '!AL24</f>
        <v>2478.5539607029082</v>
      </c>
      <c r="S59" s="85">
        <f>'Tab 3 - WTP Historic '!AM13+'Tab 3 - WTP Historic '!AM24</f>
        <v>1461.438097370162</v>
      </c>
      <c r="T59" s="85">
        <f>'Tab 3 - WTP Historic '!AN13+'Tab 3 - WTP Historic '!AN24</f>
        <v>557.05152000820522</v>
      </c>
      <c r="U59" s="85">
        <f>'Tab 3 - WTP Historic '!AO13+'Tab 3 - WTP Historic '!AO24</f>
        <v>118.97029034582201</v>
      </c>
      <c r="V59" s="85">
        <f>'Tab 3 - WTP Historic '!AP13+'Tab 3 - WTP Historic '!AP24</f>
        <v>0.30749825697005406</v>
      </c>
      <c r="W59" s="85">
        <f>'Tab 3 - WTP Historic '!AQ13+'Tab 3 - WTP Historic '!AQ24</f>
        <v>0.30748700938461571</v>
      </c>
      <c r="X59" s="85">
        <f>'Tab 3 - WTP Historic '!AR13+'Tab 3 - WTP Historic '!AR24</f>
        <v>0.30747541796107325</v>
      </c>
      <c r="Y59" s="85">
        <f>'Tab 3 - WTP Historic '!AS13+'Tab 3 - WTP Historic '!AS24</f>
        <v>0.30746346521613344</v>
      </c>
      <c r="Z59" s="85">
        <f>'Tab 3 - WTP Historic '!AT13+'Tab 3 - WTP Historic '!AT24</f>
        <v>0</v>
      </c>
      <c r="AA59" s="85">
        <f>'Tab 3 - WTP Historic '!AU13+'Tab 3 - WTP Historic '!AU24</f>
        <v>0</v>
      </c>
      <c r="AB59" s="85">
        <f>'Tab 3 - WTP Historic '!AV13+'Tab 3 - WTP Historic '!AV24</f>
        <v>0</v>
      </c>
      <c r="AC59" s="85">
        <f>'Tab 3 - WTP Historic '!AW13+'Tab 3 - WTP Historic '!AW24</f>
        <v>0</v>
      </c>
      <c r="AD59" s="85">
        <f>'Tab 3 - WTP Historic '!AX13+'Tab 3 - WTP Historic '!AX24</f>
        <v>0</v>
      </c>
      <c r="AE59" s="85">
        <f>'Tab 3 - WTP Historic '!AY13+'Tab 3 - WTP Historic '!AY24</f>
        <v>0</v>
      </c>
      <c r="AF59" s="209">
        <f>'Tab 3 - WTP Historic '!AZ13+'Tab 3 - WTP Historic '!AZ24</f>
        <v>0</v>
      </c>
    </row>
    <row r="60" spans="2:60" x14ac:dyDescent="0.25">
      <c r="D60" s="173"/>
      <c r="E60" s="48"/>
      <c r="F60" s="48"/>
      <c r="H60" s="48"/>
      <c r="I60" s="48"/>
      <c r="J60" s="48"/>
      <c r="K60" s="48"/>
      <c r="L60" s="48"/>
      <c r="M60" s="48"/>
      <c r="N60" s="48"/>
      <c r="O60" s="48"/>
      <c r="P60" s="48"/>
      <c r="Q60" s="48"/>
      <c r="R60" s="48"/>
      <c r="S60" s="48"/>
      <c r="T60" s="48"/>
      <c r="U60" s="48"/>
      <c r="V60" s="48"/>
      <c r="W60" s="48"/>
      <c r="X60" s="48"/>
      <c r="Y60" s="48"/>
      <c r="Z60" s="48"/>
      <c r="AA60" s="48"/>
      <c r="AB60" s="48"/>
      <c r="AC60" s="48"/>
      <c r="AD60" s="48"/>
      <c r="AE60" s="48"/>
      <c r="AF60" s="48"/>
      <c r="AG60" s="46"/>
    </row>
    <row r="61" spans="2:60" x14ac:dyDescent="0.25">
      <c r="B61" s="84" t="s">
        <v>89</v>
      </c>
      <c r="C61" s="181">
        <f>C57+C59</f>
        <v>565083.35847747198</v>
      </c>
      <c r="D61" s="263">
        <f t="shared" ref="D61:AF61" si="88">D57+D59</f>
        <v>541042.57388328528</v>
      </c>
      <c r="E61" s="181">
        <f t="shared" si="88"/>
        <v>768548.13048840384</v>
      </c>
      <c r="F61" s="181">
        <f t="shared" si="88"/>
        <v>79172.616325476221</v>
      </c>
      <c r="G61" s="181">
        <f>G57+G59</f>
        <v>5642.1395582945233</v>
      </c>
      <c r="H61" s="181">
        <f t="shared" si="88"/>
        <v>6928.6321204864234</v>
      </c>
      <c r="I61" s="181">
        <f t="shared" si="88"/>
        <v>8705.8989546322737</v>
      </c>
      <c r="J61" s="181">
        <f t="shared" si="88"/>
        <v>10199.880675058443</v>
      </c>
      <c r="K61" s="181">
        <f t="shared" si="88"/>
        <v>11398.836643148135</v>
      </c>
      <c r="L61" s="181">
        <f t="shared" si="88"/>
        <v>12587.235252895996</v>
      </c>
      <c r="M61" s="181">
        <f t="shared" si="88"/>
        <v>18650.0470924537</v>
      </c>
      <c r="N61" s="181">
        <f t="shared" si="88"/>
        <v>29588.928732630215</v>
      </c>
      <c r="O61" s="181">
        <f t="shared" si="88"/>
        <v>40581.9663161672</v>
      </c>
      <c r="P61" s="181">
        <f t="shared" si="88"/>
        <v>50812.091178306568</v>
      </c>
      <c r="Q61" s="181">
        <f t="shared" si="88"/>
        <v>60361.37702085916</v>
      </c>
      <c r="R61" s="181">
        <f t="shared" si="88"/>
        <v>63807.087995310227</v>
      </c>
      <c r="S61" s="181">
        <f t="shared" si="88"/>
        <v>61012.701870459518</v>
      </c>
      <c r="T61" s="181">
        <f t="shared" si="88"/>
        <v>58614.33006507199</v>
      </c>
      <c r="U61" s="181">
        <f t="shared" si="88"/>
        <v>56977.28925949322</v>
      </c>
      <c r="V61" s="181">
        <f t="shared" si="88"/>
        <v>55651.514969585056</v>
      </c>
      <c r="W61" s="181">
        <f t="shared" si="88"/>
        <v>49569.990580457721</v>
      </c>
      <c r="X61" s="181">
        <f t="shared" si="88"/>
        <v>38600.11734011714</v>
      </c>
      <c r="Y61" s="181">
        <f t="shared" si="88"/>
        <v>27597.769293528727</v>
      </c>
      <c r="Z61" s="181">
        <f t="shared" si="88"/>
        <v>16566.003636802921</v>
      </c>
      <c r="AA61" s="181">
        <f t="shared" si="88"/>
        <v>5521.6756071684258</v>
      </c>
      <c r="AB61" s="181">
        <f t="shared" si="88"/>
        <v>0</v>
      </c>
      <c r="AC61" s="181">
        <f t="shared" si="88"/>
        <v>0</v>
      </c>
      <c r="AD61" s="181">
        <f t="shared" si="88"/>
        <v>0</v>
      </c>
      <c r="AE61" s="181">
        <f t="shared" si="88"/>
        <v>0</v>
      </c>
      <c r="AF61" s="182">
        <f t="shared" si="88"/>
        <v>0</v>
      </c>
    </row>
    <row r="63" spans="2:60" x14ac:dyDescent="0.25">
      <c r="D63" s="48"/>
    </row>
  </sheetData>
  <mergeCells count="2">
    <mergeCell ref="D6:E6"/>
    <mergeCell ref="B3:Q3"/>
  </mergeCells>
  <pageMargins left="0.28999999999999998" right="0.21" top="0.32" bottom="0.42" header="0.28000000000000003" footer="0.22"/>
  <pageSetup paperSize="5" scale="21" fitToHeight="0" orientation="landscape" r:id="rId1"/>
  <headerFooter alignWithMargins="0"/>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A9A898-621F-4FE5-B47A-D650ED5126F6}">
  <sheetPr>
    <pageSetUpPr fitToPage="1"/>
  </sheetPr>
  <dimension ref="A1:BI28"/>
  <sheetViews>
    <sheetView workbookViewId="0">
      <selection sqref="A1:XFD1048576"/>
    </sheetView>
  </sheetViews>
  <sheetFormatPr defaultRowHeight="14.5" outlineLevelCol="1" x14ac:dyDescent="0.35"/>
  <cols>
    <col min="1" max="1" width="51" customWidth="1"/>
    <col min="2" max="2" width="17.54296875" customWidth="1"/>
    <col min="3" max="3" width="11.81640625" bestFit="1" customWidth="1"/>
    <col min="4" max="4" width="11.81640625" customWidth="1"/>
    <col min="5" max="19" width="8.54296875" customWidth="1" outlineLevel="1"/>
  </cols>
  <sheetData>
    <row r="1" spans="1:46" ht="15.5" x14ac:dyDescent="0.35">
      <c r="A1" s="237" t="s">
        <v>90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row>
    <row r="2" spans="1:46" ht="36.65" customHeight="1" x14ac:dyDescent="0.35">
      <c r="A2" s="536" t="s">
        <v>14</v>
      </c>
      <c r="B2" s="536"/>
      <c r="C2" s="536"/>
      <c r="D2" s="536"/>
      <c r="E2" s="536"/>
      <c r="F2" s="536"/>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row>
    <row r="3" spans="1:46" x14ac:dyDescent="0.35">
      <c r="A3" s="216" t="s">
        <v>91</v>
      </c>
      <c r="B3" s="214"/>
      <c r="C3" s="214"/>
      <c r="D3" s="214"/>
      <c r="E3" s="214"/>
      <c r="F3" s="214"/>
      <c r="G3" s="214"/>
      <c r="H3" s="214"/>
      <c r="I3" s="214"/>
      <c r="J3" s="214"/>
      <c r="K3" s="214"/>
      <c r="L3" s="214"/>
      <c r="M3" s="214"/>
      <c r="N3" s="214"/>
      <c r="O3" s="214"/>
      <c r="P3" s="214"/>
      <c r="Q3" s="214"/>
      <c r="R3" s="214"/>
      <c r="S3" s="214"/>
      <c r="T3" s="214"/>
      <c r="U3" s="214"/>
      <c r="V3" s="214"/>
      <c r="W3" s="214"/>
      <c r="X3" s="214"/>
      <c r="Y3" s="214"/>
      <c r="Z3" s="214"/>
      <c r="AA3" s="214"/>
      <c r="AB3" s="214"/>
      <c r="AC3" s="214"/>
      <c r="AD3" s="214"/>
      <c r="AE3" s="214"/>
      <c r="AF3" s="214"/>
      <c r="AG3" s="214"/>
      <c r="AH3" s="214"/>
      <c r="AI3" s="214"/>
      <c r="AJ3" s="214"/>
      <c r="AK3" s="214"/>
      <c r="AL3" s="214"/>
      <c r="AM3" s="214"/>
      <c r="AN3" s="214"/>
      <c r="AO3" s="214"/>
      <c r="AP3" s="214"/>
      <c r="AQ3" s="214"/>
      <c r="AR3" s="214"/>
      <c r="AS3" s="215"/>
      <c r="AT3" s="3"/>
    </row>
    <row r="4" spans="1:46" s="30" customFormat="1" ht="23" x14ac:dyDescent="0.25">
      <c r="A4" s="210"/>
      <c r="B4" s="190" t="s">
        <v>92</v>
      </c>
      <c r="C4" s="190" t="s">
        <v>69</v>
      </c>
      <c r="D4" s="190" t="s">
        <v>93</v>
      </c>
      <c r="E4" s="189">
        <v>2000</v>
      </c>
      <c r="F4" s="189">
        <v>2001</v>
      </c>
      <c r="G4" s="188">
        <v>2002</v>
      </c>
      <c r="H4" s="188">
        <v>2003</v>
      </c>
      <c r="I4" s="188">
        <v>2004</v>
      </c>
      <c r="J4" s="188">
        <v>2005</v>
      </c>
      <c r="K4" s="188">
        <v>2006</v>
      </c>
      <c r="L4" s="188">
        <v>2007</v>
      </c>
      <c r="M4" s="188">
        <v>2008</v>
      </c>
      <c r="N4" s="188">
        <v>2009</v>
      </c>
      <c r="O4" s="188">
        <v>2010</v>
      </c>
      <c r="P4" s="188">
        <v>2011</v>
      </c>
      <c r="Q4" s="188">
        <v>2012</v>
      </c>
      <c r="R4" s="188">
        <v>2013</v>
      </c>
      <c r="S4" s="188">
        <v>2014</v>
      </c>
      <c r="T4" s="188">
        <v>2015</v>
      </c>
      <c r="U4" s="188">
        <v>2016</v>
      </c>
      <c r="V4" s="188">
        <v>2017</v>
      </c>
      <c r="W4" s="188">
        <v>2018</v>
      </c>
      <c r="X4" s="188">
        <v>2019</v>
      </c>
      <c r="Y4" s="188">
        <v>2020</v>
      </c>
      <c r="Z4" s="188">
        <v>2021</v>
      </c>
      <c r="AA4" s="188">
        <v>2022</v>
      </c>
      <c r="AB4" s="188">
        <v>2023</v>
      </c>
      <c r="AC4" s="188">
        <v>2024</v>
      </c>
      <c r="AD4" s="188">
        <v>2025</v>
      </c>
      <c r="AE4" s="188">
        <v>2026</v>
      </c>
      <c r="AF4" s="188">
        <v>2027</v>
      </c>
      <c r="AG4" s="188">
        <v>2028</v>
      </c>
      <c r="AH4" s="188">
        <v>2029</v>
      </c>
      <c r="AI4" s="188">
        <v>2030</v>
      </c>
      <c r="AJ4" s="188">
        <v>2031</v>
      </c>
      <c r="AK4" s="188">
        <v>2032</v>
      </c>
      <c r="AL4" s="188">
        <v>2033</v>
      </c>
      <c r="AM4" s="188">
        <v>2034</v>
      </c>
      <c r="AN4" s="188">
        <v>2035</v>
      </c>
      <c r="AO4" s="188">
        <v>2036</v>
      </c>
      <c r="AP4" s="188">
        <v>2037</v>
      </c>
      <c r="AQ4" s="188">
        <v>2038</v>
      </c>
      <c r="AR4" s="188">
        <v>2039</v>
      </c>
      <c r="AS4" s="193">
        <v>2040</v>
      </c>
      <c r="AT4" s="173"/>
    </row>
    <row r="5" spans="1:46" s="30" customFormat="1" ht="11.5" x14ac:dyDescent="0.25">
      <c r="A5" s="175"/>
      <c r="B5" s="176"/>
      <c r="C5" s="178"/>
      <c r="D5" s="178"/>
      <c r="E5" s="178"/>
      <c r="F5" s="178"/>
      <c r="G5" s="178"/>
      <c r="H5" s="178"/>
      <c r="I5" s="178"/>
      <c r="J5" s="178"/>
      <c r="K5" s="178"/>
      <c r="L5" s="178"/>
      <c r="M5" s="178"/>
      <c r="N5" s="178"/>
      <c r="O5" s="178"/>
      <c r="P5" s="178"/>
      <c r="Q5" s="178"/>
      <c r="R5" s="178"/>
      <c r="S5" s="178"/>
      <c r="T5" s="178"/>
      <c r="U5" s="178"/>
      <c r="V5" s="178"/>
      <c r="W5" s="178"/>
      <c r="X5" s="178"/>
      <c r="Y5" s="178"/>
      <c r="Z5" s="178"/>
      <c r="AA5" s="178"/>
      <c r="AB5" s="178"/>
      <c r="AC5" s="178"/>
      <c r="AD5" s="178"/>
      <c r="AE5" s="178"/>
      <c r="AF5" s="178"/>
      <c r="AG5" s="178"/>
      <c r="AH5" s="178"/>
      <c r="AI5" s="178"/>
      <c r="AJ5" s="178"/>
      <c r="AK5" s="178"/>
      <c r="AL5" s="178"/>
      <c r="AM5" s="178"/>
      <c r="AN5" s="178"/>
      <c r="AO5" s="178"/>
      <c r="AP5" s="178"/>
      <c r="AQ5" s="178"/>
      <c r="AR5" s="178"/>
      <c r="AS5" s="227"/>
      <c r="AT5" s="173"/>
    </row>
    <row r="6" spans="1:46" s="30" customFormat="1" ht="11.5" x14ac:dyDescent="0.25">
      <c r="A6" s="44" t="s">
        <v>94</v>
      </c>
      <c r="B6" s="173"/>
      <c r="C6" s="177">
        <f>SUM(E6:AS6)</f>
        <v>88753.44</v>
      </c>
      <c r="D6" s="177"/>
      <c r="E6" s="177"/>
      <c r="F6" s="177"/>
      <c r="G6" s="177">
        <v>138.47999999999999</v>
      </c>
      <c r="H6" s="177">
        <v>806.88</v>
      </c>
      <c r="I6" s="177">
        <v>4963.92</v>
      </c>
      <c r="J6" s="177">
        <v>12948.48</v>
      </c>
      <c r="K6" s="177">
        <v>18000</v>
      </c>
      <c r="L6" s="177">
        <v>10199.039999999999</v>
      </c>
      <c r="M6" s="177">
        <v>11448</v>
      </c>
      <c r="N6" s="177">
        <v>19927.68</v>
      </c>
      <c r="O6" s="177">
        <v>8160</v>
      </c>
      <c r="P6" s="177">
        <v>2160.96</v>
      </c>
      <c r="Q6" s="177">
        <v>0</v>
      </c>
      <c r="R6" s="177">
        <v>0</v>
      </c>
      <c r="S6" s="177">
        <v>0</v>
      </c>
      <c r="T6" s="177">
        <v>0</v>
      </c>
      <c r="U6" s="177"/>
      <c r="V6" s="177"/>
      <c r="W6" s="177"/>
      <c r="X6" s="177"/>
      <c r="Y6" s="177"/>
      <c r="Z6" s="177"/>
      <c r="AA6" s="177"/>
      <c r="AB6" s="177"/>
      <c r="AC6" s="177"/>
      <c r="AD6" s="177"/>
      <c r="AE6" s="177"/>
      <c r="AF6" s="177"/>
      <c r="AG6" s="177"/>
      <c r="AH6" s="177"/>
      <c r="AI6" s="177"/>
      <c r="AJ6" s="177"/>
      <c r="AK6" s="177"/>
      <c r="AL6" s="177"/>
      <c r="AM6" s="177"/>
      <c r="AN6" s="177"/>
      <c r="AO6" s="177"/>
      <c r="AP6" s="177"/>
      <c r="AQ6" s="177"/>
      <c r="AR6" s="177"/>
      <c r="AS6" s="228"/>
      <c r="AT6" s="173"/>
    </row>
    <row r="7" spans="1:46" s="30" customFormat="1" ht="11.5" x14ac:dyDescent="0.25">
      <c r="A7" s="44" t="s">
        <v>95</v>
      </c>
      <c r="B7" s="173"/>
      <c r="C7" s="177"/>
      <c r="D7" s="177"/>
      <c r="E7" s="177"/>
      <c r="F7" s="177"/>
      <c r="G7" s="177"/>
      <c r="H7" s="528">
        <v>5.5E-2</v>
      </c>
      <c r="I7" s="528">
        <v>4.9500000000000002E-2</v>
      </c>
      <c r="J7" s="528">
        <v>4.65E-2</v>
      </c>
      <c r="K7" s="528">
        <v>4.7800000000000002E-2</v>
      </c>
      <c r="L7" s="528">
        <v>4.8899999999999999E-2</v>
      </c>
      <c r="M7" s="528">
        <v>4.6800000000000001E-2</v>
      </c>
      <c r="N7" s="528">
        <v>4.7500000000000001E-2</v>
      </c>
      <c r="O7" s="528">
        <v>3.9199999999999999E-2</v>
      </c>
      <c r="P7" s="528">
        <v>3.4099999999999998E-2</v>
      </c>
      <c r="Q7" s="528"/>
      <c r="R7" s="528"/>
      <c r="S7" s="528"/>
      <c r="T7" s="177"/>
      <c r="U7" s="177"/>
      <c r="V7" s="177"/>
      <c r="W7" s="177"/>
      <c r="X7" s="177"/>
      <c r="Y7" s="177"/>
      <c r="Z7" s="177"/>
      <c r="AA7" s="177"/>
      <c r="AB7" s="177"/>
      <c r="AC7" s="177"/>
      <c r="AD7" s="177"/>
      <c r="AE7" s="177"/>
      <c r="AF7" s="177"/>
      <c r="AG7" s="177"/>
      <c r="AH7" s="177"/>
      <c r="AI7" s="177"/>
      <c r="AJ7" s="177"/>
      <c r="AK7" s="177"/>
      <c r="AL7" s="177"/>
      <c r="AM7" s="177"/>
      <c r="AN7" s="177"/>
      <c r="AO7" s="177"/>
      <c r="AP7" s="177"/>
      <c r="AQ7" s="177"/>
      <c r="AR7" s="177"/>
      <c r="AS7" s="228"/>
      <c r="AT7" s="173"/>
    </row>
    <row r="8" spans="1:46" s="30" customFormat="1" ht="11.5" x14ac:dyDescent="0.25">
      <c r="A8" s="527" t="s">
        <v>96</v>
      </c>
      <c r="B8" s="173"/>
      <c r="C8" s="177"/>
      <c r="D8" s="177"/>
      <c r="E8" s="177"/>
      <c r="F8" s="177"/>
      <c r="G8" s="177"/>
      <c r="H8" s="173">
        <v>15</v>
      </c>
      <c r="I8" s="173">
        <v>15</v>
      </c>
      <c r="J8" s="173">
        <v>25</v>
      </c>
      <c r="K8" s="173">
        <v>25</v>
      </c>
      <c r="L8" s="173">
        <v>25</v>
      </c>
      <c r="M8" s="173">
        <v>25</v>
      </c>
      <c r="N8" s="173">
        <v>25</v>
      </c>
      <c r="O8" s="173">
        <v>25</v>
      </c>
      <c r="P8" s="173">
        <v>25</v>
      </c>
      <c r="Q8" s="173"/>
      <c r="R8" s="173"/>
      <c r="S8" s="173"/>
      <c r="T8" s="177"/>
      <c r="U8" s="177"/>
      <c r="V8" s="177"/>
      <c r="W8" s="177"/>
      <c r="X8" s="177"/>
      <c r="Y8" s="177"/>
      <c r="Z8" s="177"/>
      <c r="AA8" s="177"/>
      <c r="AB8" s="177"/>
      <c r="AC8" s="177"/>
      <c r="AD8" s="177"/>
      <c r="AE8" s="177"/>
      <c r="AF8" s="177"/>
      <c r="AG8" s="177"/>
      <c r="AH8" s="177"/>
      <c r="AI8" s="177"/>
      <c r="AJ8" s="177"/>
      <c r="AK8" s="177"/>
      <c r="AL8" s="177"/>
      <c r="AM8" s="177"/>
      <c r="AN8" s="177"/>
      <c r="AO8" s="177"/>
      <c r="AP8" s="177"/>
      <c r="AQ8" s="177"/>
      <c r="AR8" s="177"/>
      <c r="AS8" s="228"/>
      <c r="AT8" s="173"/>
    </row>
    <row r="9" spans="1:46" s="30" customFormat="1" ht="11.5" x14ac:dyDescent="0.25">
      <c r="A9" s="171" t="s">
        <v>97</v>
      </c>
      <c r="B9" s="173"/>
      <c r="C9" s="177">
        <v>88753.44</v>
      </c>
      <c r="D9" s="177">
        <f>SUM(E9:AS9)</f>
        <v>144875.05870040247</v>
      </c>
      <c r="E9" s="177">
        <v>0</v>
      </c>
      <c r="F9" s="177">
        <v>0</v>
      </c>
      <c r="G9" s="177">
        <v>0</v>
      </c>
      <c r="H9" s="177">
        <v>0</v>
      </c>
      <c r="I9" s="177">
        <v>71.730479999999986</v>
      </c>
      <c r="J9" s="177">
        <v>414.60673439999999</v>
      </c>
      <c r="K9" s="177">
        <v>1271.6871495408002</v>
      </c>
      <c r="L9" s="177">
        <v>2445.4738451711996</v>
      </c>
      <c r="M9" s="177">
        <v>3296.5080418319999</v>
      </c>
      <c r="N9" s="177">
        <v>4213.6619261040005</v>
      </c>
      <c r="O9" s="177">
        <v>5367.8556724349328</v>
      </c>
      <c r="P9" s="177">
        <v>5840.0997854213301</v>
      </c>
      <c r="Q9" s="177">
        <v>5968.0162089912501</v>
      </c>
      <c r="R9" s="177">
        <v>5968.0162089912528</v>
      </c>
      <c r="S9" s="177">
        <v>5968.0162089912537</v>
      </c>
      <c r="T9" s="177">
        <v>5968.0162089912519</v>
      </c>
      <c r="U9" s="177">
        <v>5968.0162089912519</v>
      </c>
      <c r="V9" s="177">
        <v>5968.0162089912519</v>
      </c>
      <c r="W9" s="177">
        <v>5968.0161705912533</v>
      </c>
      <c r="X9" s="177">
        <v>5896.285791391254</v>
      </c>
      <c r="Y9" s="177">
        <v>5553.4095225912497</v>
      </c>
      <c r="Z9" s="177">
        <v>5553.4095225912533</v>
      </c>
      <c r="AA9" s="177">
        <v>5553.4095225912533</v>
      </c>
      <c r="AB9" s="177">
        <v>5553.4095225912524</v>
      </c>
      <c r="AC9" s="177">
        <v>5553.4095225912533</v>
      </c>
      <c r="AD9" s="177">
        <v>5553.4095225912533</v>
      </c>
      <c r="AE9" s="177">
        <v>5553.4095225912533</v>
      </c>
      <c r="AF9" s="177">
        <v>5553.4095225912533</v>
      </c>
      <c r="AG9" s="177">
        <v>5553.4095225912542</v>
      </c>
      <c r="AH9" s="177">
        <v>5553.4095225912524</v>
      </c>
      <c r="AI9" s="177">
        <v>5553.4094985912543</v>
      </c>
      <c r="AJ9" s="177">
        <v>4696.3289697912542</v>
      </c>
      <c r="AK9" s="177">
        <v>3522.5423145912528</v>
      </c>
      <c r="AL9" s="177">
        <v>2671.5082569912529</v>
      </c>
      <c r="AM9" s="177">
        <v>1575.0743520035201</v>
      </c>
      <c r="AN9" s="177">
        <v>600.16073513951994</v>
      </c>
      <c r="AO9" s="177">
        <v>127.91649654768</v>
      </c>
      <c r="AP9" s="177">
        <v>0</v>
      </c>
      <c r="AQ9" s="177">
        <v>0</v>
      </c>
      <c r="AR9" s="177">
        <v>0</v>
      </c>
      <c r="AS9" s="228">
        <v>0</v>
      </c>
      <c r="AT9" s="173"/>
    </row>
    <row r="10" spans="1:46" s="30" customFormat="1" ht="11.5" x14ac:dyDescent="0.25">
      <c r="A10" s="171" t="s">
        <v>98</v>
      </c>
      <c r="B10" s="173"/>
      <c r="C10" s="177">
        <v>3333.6</v>
      </c>
      <c r="D10" s="177">
        <f>SUM(E10:AS10)</f>
        <v>3333.6</v>
      </c>
      <c r="E10" s="177">
        <v>3333.6</v>
      </c>
      <c r="F10" s="177">
        <v>0</v>
      </c>
      <c r="G10" s="177">
        <v>0</v>
      </c>
      <c r="H10" s="177">
        <v>0</v>
      </c>
      <c r="I10" s="177">
        <v>0</v>
      </c>
      <c r="J10" s="177">
        <v>0</v>
      </c>
      <c r="K10" s="177">
        <v>0</v>
      </c>
      <c r="L10" s="177">
        <v>0</v>
      </c>
      <c r="M10" s="177">
        <v>0</v>
      </c>
      <c r="N10" s="177">
        <v>0</v>
      </c>
      <c r="O10" s="177">
        <v>0</v>
      </c>
      <c r="P10" s="177">
        <v>0</v>
      </c>
      <c r="Q10" s="177">
        <v>0</v>
      </c>
      <c r="R10" s="177">
        <v>0</v>
      </c>
      <c r="S10" s="177">
        <v>0</v>
      </c>
      <c r="T10" s="177">
        <v>0</v>
      </c>
      <c r="U10" s="177">
        <v>0</v>
      </c>
      <c r="V10" s="177">
        <v>0</v>
      </c>
      <c r="W10" s="177">
        <v>0</v>
      </c>
      <c r="X10" s="177">
        <v>0</v>
      </c>
      <c r="Y10" s="177">
        <v>0</v>
      </c>
      <c r="Z10" s="177">
        <v>0</v>
      </c>
      <c r="AA10" s="177">
        <v>0</v>
      </c>
      <c r="AB10" s="177">
        <v>0</v>
      </c>
      <c r="AC10" s="177">
        <v>0</v>
      </c>
      <c r="AD10" s="177">
        <v>0</v>
      </c>
      <c r="AE10" s="177">
        <v>0</v>
      </c>
      <c r="AF10" s="177">
        <v>0</v>
      </c>
      <c r="AG10" s="177">
        <v>0</v>
      </c>
      <c r="AH10" s="177">
        <v>0</v>
      </c>
      <c r="AI10" s="177">
        <v>0</v>
      </c>
      <c r="AJ10" s="177">
        <v>0</v>
      </c>
      <c r="AK10" s="177">
        <v>0</v>
      </c>
      <c r="AL10" s="177">
        <v>0</v>
      </c>
      <c r="AM10" s="177">
        <v>0</v>
      </c>
      <c r="AN10" s="177">
        <v>0</v>
      </c>
      <c r="AO10" s="177">
        <v>0</v>
      </c>
      <c r="AP10" s="177">
        <v>0</v>
      </c>
      <c r="AQ10" s="177">
        <v>0</v>
      </c>
      <c r="AR10" s="177">
        <v>0</v>
      </c>
      <c r="AS10" s="228">
        <v>0</v>
      </c>
      <c r="AT10" s="173"/>
    </row>
    <row r="11" spans="1:46" s="30" customFormat="1" ht="11.5" x14ac:dyDescent="0.25">
      <c r="A11" s="203" t="s">
        <v>99</v>
      </c>
      <c r="B11" s="204"/>
      <c r="C11" s="205">
        <f>SUM(C9:C10)</f>
        <v>92087.040000000008</v>
      </c>
      <c r="D11" s="177">
        <f>D9</f>
        <v>144875.05870040247</v>
      </c>
      <c r="E11" s="205">
        <f>SUM(E9:E10)</f>
        <v>3333.6</v>
      </c>
      <c r="F11" s="205">
        <f>SUM(F9:F10)</f>
        <v>0</v>
      </c>
      <c r="G11" s="205">
        <f t="shared" ref="G11:AS11" si="0">SUM(G9:G10)</f>
        <v>0</v>
      </c>
      <c r="H11" s="205">
        <f t="shared" si="0"/>
        <v>0</v>
      </c>
      <c r="I11" s="205">
        <f>SUM(I9:I10)</f>
        <v>71.730479999999986</v>
      </c>
      <c r="J11" s="205">
        <f t="shared" si="0"/>
        <v>414.60673439999999</v>
      </c>
      <c r="K11" s="205">
        <f>SUM(K9:K10)</f>
        <v>1271.6871495408002</v>
      </c>
      <c r="L11" s="205">
        <f>SUM(L9:L10)</f>
        <v>2445.4738451711996</v>
      </c>
      <c r="M11" s="205">
        <f t="shared" si="0"/>
        <v>3296.5080418319999</v>
      </c>
      <c r="N11" s="205">
        <f>SUM(N9:N10)</f>
        <v>4213.6619261040005</v>
      </c>
      <c r="O11" s="205">
        <f t="shared" si="0"/>
        <v>5367.8556724349328</v>
      </c>
      <c r="P11" s="205">
        <f t="shared" si="0"/>
        <v>5840.0997854213301</v>
      </c>
      <c r="Q11" s="205">
        <f t="shared" si="0"/>
        <v>5968.0162089912501</v>
      </c>
      <c r="R11" s="205">
        <f t="shared" si="0"/>
        <v>5968.0162089912528</v>
      </c>
      <c r="S11" s="205">
        <f t="shared" si="0"/>
        <v>5968.0162089912537</v>
      </c>
      <c r="T11" s="205">
        <f t="shared" si="0"/>
        <v>5968.0162089912519</v>
      </c>
      <c r="U11" s="205">
        <f t="shared" si="0"/>
        <v>5968.0162089912519</v>
      </c>
      <c r="V11" s="205">
        <f t="shared" si="0"/>
        <v>5968.0162089912519</v>
      </c>
      <c r="W11" s="205">
        <f t="shared" si="0"/>
        <v>5968.0161705912533</v>
      </c>
      <c r="X11" s="205">
        <f t="shared" si="0"/>
        <v>5896.285791391254</v>
      </c>
      <c r="Y11" s="205">
        <f t="shared" si="0"/>
        <v>5553.4095225912497</v>
      </c>
      <c r="Z11" s="205">
        <f t="shared" si="0"/>
        <v>5553.4095225912533</v>
      </c>
      <c r="AA11" s="205">
        <f t="shared" si="0"/>
        <v>5553.4095225912533</v>
      </c>
      <c r="AB11" s="205">
        <f t="shared" si="0"/>
        <v>5553.4095225912524</v>
      </c>
      <c r="AC11" s="205">
        <f>SUM(AC9:AC10)</f>
        <v>5553.4095225912533</v>
      </c>
      <c r="AD11" s="205">
        <f t="shared" si="0"/>
        <v>5553.4095225912533</v>
      </c>
      <c r="AE11" s="205">
        <f t="shared" si="0"/>
        <v>5553.4095225912533</v>
      </c>
      <c r="AF11" s="205">
        <f t="shared" si="0"/>
        <v>5553.4095225912533</v>
      </c>
      <c r="AG11" s="205">
        <f t="shared" si="0"/>
        <v>5553.4095225912542</v>
      </c>
      <c r="AH11" s="205">
        <f t="shared" si="0"/>
        <v>5553.4095225912524</v>
      </c>
      <c r="AI11" s="205">
        <f t="shared" si="0"/>
        <v>5553.4094985912543</v>
      </c>
      <c r="AJ11" s="205">
        <f t="shared" si="0"/>
        <v>4696.3289697912542</v>
      </c>
      <c r="AK11" s="205">
        <f t="shared" si="0"/>
        <v>3522.5423145912528</v>
      </c>
      <c r="AL11" s="205">
        <f t="shared" si="0"/>
        <v>2671.5082569912529</v>
      </c>
      <c r="AM11" s="205">
        <f t="shared" si="0"/>
        <v>1575.0743520035201</v>
      </c>
      <c r="AN11" s="205">
        <f t="shared" si="0"/>
        <v>600.16073513951994</v>
      </c>
      <c r="AO11" s="205">
        <f t="shared" si="0"/>
        <v>127.91649654768</v>
      </c>
      <c r="AP11" s="205">
        <f t="shared" si="0"/>
        <v>0</v>
      </c>
      <c r="AQ11" s="205">
        <f t="shared" si="0"/>
        <v>0</v>
      </c>
      <c r="AR11" s="205">
        <f t="shared" si="0"/>
        <v>0</v>
      </c>
      <c r="AS11" s="229">
        <f t="shared" si="0"/>
        <v>0</v>
      </c>
      <c r="AT11" s="173"/>
    </row>
    <row r="12" spans="1:46" s="30" customFormat="1" ht="11.5" x14ac:dyDescent="0.25">
      <c r="A12" s="203"/>
      <c r="B12" s="204"/>
      <c r="C12" s="205"/>
      <c r="D12" s="205"/>
      <c r="E12" s="205"/>
      <c r="F12" s="205"/>
      <c r="G12" s="205"/>
      <c r="H12" s="205"/>
      <c r="I12" s="205"/>
      <c r="J12" s="205"/>
      <c r="K12" s="205"/>
      <c r="L12" s="205"/>
      <c r="M12" s="205"/>
      <c r="N12" s="205"/>
      <c r="O12" s="205"/>
      <c r="P12" s="205"/>
      <c r="Q12" s="205"/>
      <c r="R12" s="205"/>
      <c r="S12" s="205"/>
      <c r="T12" s="205"/>
      <c r="U12" s="205"/>
      <c r="V12" s="205"/>
      <c r="W12" s="205"/>
      <c r="X12" s="205"/>
      <c r="Y12" s="205"/>
      <c r="Z12" s="205"/>
      <c r="AA12" s="205"/>
      <c r="AB12" s="205"/>
      <c r="AC12" s="205"/>
      <c r="AD12" s="205"/>
      <c r="AE12" s="205"/>
      <c r="AF12" s="205"/>
      <c r="AG12" s="205"/>
      <c r="AH12" s="205"/>
      <c r="AI12" s="205"/>
      <c r="AJ12" s="205"/>
      <c r="AK12" s="205"/>
      <c r="AL12" s="205"/>
      <c r="AM12" s="205"/>
      <c r="AN12" s="205"/>
      <c r="AO12" s="205"/>
      <c r="AP12" s="205"/>
      <c r="AQ12" s="205"/>
      <c r="AR12" s="205"/>
      <c r="AS12" s="229"/>
      <c r="AT12" s="173"/>
    </row>
    <row r="13" spans="1:46" s="30" customFormat="1" ht="11.5" x14ac:dyDescent="0.25">
      <c r="A13" s="203" t="s">
        <v>100</v>
      </c>
      <c r="B13" s="206">
        <f>'Tab 5 - WTP Capacity '!C51</f>
        <v>0.92765815498273996</v>
      </c>
      <c r="C13" s="205">
        <f>C11*B13</f>
        <v>85425.293624221784</v>
      </c>
      <c r="D13" s="205">
        <f>SUM(E13:AS13)</f>
        <v>137486.97088248207</v>
      </c>
      <c r="E13" s="205">
        <f t="shared" ref="E13:AQ13" si="1">E11*$B$13</f>
        <v>3092.4412254504618</v>
      </c>
      <c r="F13" s="205">
        <f t="shared" si="1"/>
        <v>0</v>
      </c>
      <c r="G13" s="205">
        <f t="shared" si="1"/>
        <v>0</v>
      </c>
      <c r="H13" s="205">
        <f t="shared" si="1"/>
        <v>0</v>
      </c>
      <c r="I13" s="205">
        <f t="shared" si="1"/>
        <v>66.54136473282631</v>
      </c>
      <c r="J13" s="205">
        <f t="shared" si="1"/>
        <v>384.61331827692288</v>
      </c>
      <c r="K13" s="205">
        <f t="shared" si="1"/>
        <v>1179.6909548582785</v>
      </c>
      <c r="L13" s="205">
        <f t="shared" si="1"/>
        <v>2268.5637552700618</v>
      </c>
      <c r="M13" s="205">
        <f t="shared" si="1"/>
        <v>3058.0325679716379</v>
      </c>
      <c r="N13" s="205">
        <f t="shared" si="1"/>
        <v>3908.8378480906554</v>
      </c>
      <c r="O13" s="205">
        <f t="shared" si="1"/>
        <v>4979.5350893046243</v>
      </c>
      <c r="P13" s="205">
        <f t="shared" si="1"/>
        <v>5417.6161918590469</v>
      </c>
      <c r="Q13" s="205">
        <f t="shared" si="1"/>
        <v>5536.2789053399092</v>
      </c>
      <c r="R13" s="205">
        <f t="shared" si="1"/>
        <v>5536.2789053399119</v>
      </c>
      <c r="S13" s="205">
        <f t="shared" si="1"/>
        <v>5536.2789053399129</v>
      </c>
      <c r="T13" s="205">
        <f>T11*$B$13</f>
        <v>5536.278905339911</v>
      </c>
      <c r="U13" s="205">
        <f t="shared" si="1"/>
        <v>5536.278905339911</v>
      </c>
      <c r="V13" s="205">
        <f t="shared" si="1"/>
        <v>5536.278905339911</v>
      </c>
      <c r="W13" s="205">
        <f t="shared" si="1"/>
        <v>5536.2788697178394</v>
      </c>
      <c r="X13" s="205">
        <f t="shared" si="1"/>
        <v>5469.7375984929549</v>
      </c>
      <c r="Y13" s="205">
        <f t="shared" si="1"/>
        <v>5151.6656315905775</v>
      </c>
      <c r="Z13" s="205">
        <f t="shared" si="1"/>
        <v>5151.6656315905811</v>
      </c>
      <c r="AA13" s="205">
        <f t="shared" si="1"/>
        <v>5151.6656315905811</v>
      </c>
      <c r="AB13" s="205">
        <f t="shared" si="1"/>
        <v>5151.6656315905802</v>
      </c>
      <c r="AC13" s="205">
        <f t="shared" si="1"/>
        <v>5151.6656315905811</v>
      </c>
      <c r="AD13" s="205">
        <f t="shared" si="1"/>
        <v>5151.6656315905811</v>
      </c>
      <c r="AE13" s="205">
        <f t="shared" si="1"/>
        <v>5151.6656315905811</v>
      </c>
      <c r="AF13" s="205">
        <f t="shared" si="1"/>
        <v>5151.6656315905811</v>
      </c>
      <c r="AG13" s="205">
        <f t="shared" si="1"/>
        <v>5151.6656315905821</v>
      </c>
      <c r="AH13" s="205">
        <f t="shared" si="1"/>
        <v>5151.6656315905802</v>
      </c>
      <c r="AI13" s="205">
        <f t="shared" si="1"/>
        <v>5151.6656093267857</v>
      </c>
      <c r="AJ13" s="205">
        <f t="shared" si="1"/>
        <v>4356.5878673085472</v>
      </c>
      <c r="AK13" s="205">
        <f t="shared" si="1"/>
        <v>3267.7151044023517</v>
      </c>
      <c r="AL13" s="205">
        <f t="shared" si="1"/>
        <v>2478.246420701661</v>
      </c>
      <c r="AM13" s="205">
        <f t="shared" si="1"/>
        <v>1461.1305673402201</v>
      </c>
      <c r="AN13" s="205">
        <f t="shared" si="1"/>
        <v>556.74400025261195</v>
      </c>
      <c r="AO13" s="205">
        <f>AO11*$B$13</f>
        <v>118.66278117927685</v>
      </c>
      <c r="AP13" s="205">
        <f t="shared" si="1"/>
        <v>0</v>
      </c>
      <c r="AQ13" s="205">
        <f t="shared" si="1"/>
        <v>0</v>
      </c>
      <c r="AR13" s="205">
        <f t="shared" ref="AR13:AS13" si="2">AR11*$B$13</f>
        <v>0</v>
      </c>
      <c r="AS13" s="229">
        <f t="shared" si="2"/>
        <v>0</v>
      </c>
      <c r="AT13" s="173"/>
    </row>
    <row r="14" spans="1:46" x14ac:dyDescent="0.35">
      <c r="A14" s="195"/>
      <c r="B14" s="196"/>
      <c r="C14" s="196"/>
      <c r="D14" s="196"/>
      <c r="E14" s="196"/>
      <c r="F14" s="196"/>
      <c r="G14" s="196"/>
      <c r="H14" s="196"/>
      <c r="I14" s="196"/>
      <c r="J14" s="196"/>
      <c r="K14" s="196"/>
      <c r="L14" s="196"/>
      <c r="M14" s="196"/>
      <c r="N14" s="196"/>
      <c r="O14" s="196"/>
      <c r="P14" s="196"/>
      <c r="Q14" s="196"/>
      <c r="R14" s="196"/>
      <c r="S14" s="196"/>
      <c r="T14" s="196"/>
      <c r="U14" s="196"/>
      <c r="V14" s="196"/>
      <c r="W14" s="196"/>
      <c r="X14" s="196"/>
      <c r="Y14" s="196"/>
      <c r="Z14" s="196"/>
      <c r="AA14" s="196"/>
      <c r="AB14" s="196"/>
      <c r="AC14" s="196"/>
      <c r="AD14" s="196"/>
      <c r="AE14" s="196"/>
      <c r="AF14" s="196"/>
      <c r="AG14" s="196"/>
      <c r="AH14" s="196"/>
      <c r="AI14" s="196"/>
      <c r="AJ14" s="196"/>
      <c r="AK14" s="196"/>
      <c r="AL14" s="196"/>
      <c r="AM14" s="196"/>
      <c r="AN14" s="196"/>
      <c r="AO14" s="196"/>
      <c r="AP14" s="196"/>
      <c r="AQ14" s="196"/>
      <c r="AR14" s="196"/>
      <c r="AS14" s="197"/>
      <c r="AT14" s="3"/>
    </row>
    <row r="15" spans="1:46" x14ac:dyDescent="0.35">
      <c r="A15" s="199"/>
      <c r="B15" s="199"/>
      <c r="C15" s="199"/>
      <c r="D15" s="199"/>
      <c r="E15" s="199"/>
      <c r="F15" s="199"/>
      <c r="G15" s="199"/>
      <c r="H15" s="199"/>
      <c r="I15" s="199"/>
      <c r="J15" s="199"/>
      <c r="K15" s="199"/>
      <c r="L15" s="199"/>
      <c r="M15" s="199"/>
      <c r="N15" s="199"/>
      <c r="O15" s="199"/>
      <c r="P15" s="199"/>
      <c r="Q15" s="199"/>
      <c r="R15" s="199"/>
      <c r="S15" s="199"/>
      <c r="T15" s="199"/>
      <c r="U15" s="199"/>
      <c r="V15" s="199"/>
      <c r="W15" s="199"/>
      <c r="X15" s="199"/>
      <c r="Y15" s="199"/>
      <c r="Z15" s="199"/>
      <c r="AA15" s="199"/>
      <c r="AB15" s="199"/>
      <c r="AC15" s="199"/>
      <c r="AD15" s="199"/>
      <c r="AE15" s="199"/>
      <c r="AF15" s="199"/>
      <c r="AG15" s="199"/>
      <c r="AH15" s="199"/>
      <c r="AI15" s="199"/>
      <c r="AJ15" s="199"/>
      <c r="AK15" s="199"/>
      <c r="AL15" s="199"/>
      <c r="AM15" s="199"/>
      <c r="AN15" s="199"/>
      <c r="AO15" s="199"/>
      <c r="AP15" s="199"/>
      <c r="AQ15" s="199"/>
      <c r="AR15" s="199"/>
      <c r="AS15" s="199"/>
      <c r="AT15" s="3"/>
    </row>
    <row r="16" spans="1:46" x14ac:dyDescent="0.35">
      <c r="A16" s="211" t="s">
        <v>101</v>
      </c>
      <c r="B16" s="212"/>
      <c r="C16" s="212"/>
      <c r="D16" s="212"/>
      <c r="E16" s="212"/>
      <c r="F16" s="212"/>
      <c r="G16" s="212"/>
      <c r="H16" s="212"/>
      <c r="I16" s="212"/>
      <c r="J16" s="212"/>
      <c r="K16" s="212"/>
      <c r="L16" s="212"/>
      <c r="M16" s="212"/>
      <c r="N16" s="212"/>
      <c r="O16" s="212"/>
      <c r="P16" s="212"/>
      <c r="Q16" s="212"/>
      <c r="R16" s="212"/>
      <c r="S16" s="212"/>
      <c r="T16" s="212"/>
      <c r="U16" s="212"/>
      <c r="V16" s="212"/>
      <c r="W16" s="212"/>
      <c r="X16" s="212"/>
      <c r="Y16" s="212"/>
      <c r="Z16" s="212"/>
      <c r="AA16" s="212"/>
      <c r="AB16" s="212"/>
      <c r="AC16" s="212"/>
      <c r="AD16" s="212"/>
      <c r="AE16" s="212"/>
      <c r="AF16" s="212"/>
      <c r="AG16" s="212"/>
      <c r="AH16" s="212"/>
      <c r="AI16" s="212"/>
      <c r="AJ16" s="212"/>
      <c r="AK16" s="212"/>
      <c r="AL16" s="212"/>
      <c r="AM16" s="212"/>
      <c r="AN16" s="212"/>
      <c r="AO16" s="212"/>
      <c r="AP16" s="212"/>
      <c r="AQ16" s="212"/>
      <c r="AR16" s="212"/>
      <c r="AS16" s="213"/>
      <c r="AT16" s="3"/>
    </row>
    <row r="17" spans="1:61" s="30" customFormat="1" ht="23" x14ac:dyDescent="0.25">
      <c r="A17" s="186"/>
      <c r="B17" s="190" t="s">
        <v>92</v>
      </c>
      <c r="C17" s="190" t="s">
        <v>69</v>
      </c>
      <c r="D17" s="190" t="s">
        <v>93</v>
      </c>
      <c r="E17" s="189">
        <v>2000</v>
      </c>
      <c r="F17" s="189">
        <v>2001</v>
      </c>
      <c r="G17" s="188">
        <v>2002</v>
      </c>
      <c r="H17" s="188">
        <v>2003</v>
      </c>
      <c r="I17" s="188">
        <v>2004</v>
      </c>
      <c r="J17" s="188">
        <v>2005</v>
      </c>
      <c r="K17" s="188">
        <v>2006</v>
      </c>
      <c r="L17" s="188">
        <v>2007</v>
      </c>
      <c r="M17" s="188">
        <v>2008</v>
      </c>
      <c r="N17" s="188">
        <v>2009</v>
      </c>
      <c r="O17" s="188">
        <v>2010</v>
      </c>
      <c r="P17" s="188">
        <v>2011</v>
      </c>
      <c r="Q17" s="188">
        <v>2012</v>
      </c>
      <c r="R17" s="188">
        <v>2013</v>
      </c>
      <c r="S17" s="188">
        <v>2014</v>
      </c>
      <c r="T17" s="188">
        <v>2015</v>
      </c>
      <c r="U17" s="188">
        <v>2016</v>
      </c>
      <c r="V17" s="188">
        <v>2017</v>
      </c>
      <c r="W17" s="188">
        <v>2018</v>
      </c>
      <c r="X17" s="188">
        <v>2019</v>
      </c>
      <c r="Y17" s="188">
        <v>2020</v>
      </c>
      <c r="Z17" s="188">
        <v>2021</v>
      </c>
      <c r="AA17" s="188">
        <v>2022</v>
      </c>
      <c r="AB17" s="188">
        <v>2023</v>
      </c>
      <c r="AC17" s="188">
        <v>2024</v>
      </c>
      <c r="AD17" s="188">
        <v>2025</v>
      </c>
      <c r="AE17" s="188">
        <v>2026</v>
      </c>
      <c r="AF17" s="188">
        <v>2027</v>
      </c>
      <c r="AG17" s="188">
        <v>2028</v>
      </c>
      <c r="AH17" s="188">
        <v>2029</v>
      </c>
      <c r="AI17" s="188">
        <v>2030</v>
      </c>
      <c r="AJ17" s="188">
        <v>2031</v>
      </c>
      <c r="AK17" s="188">
        <v>2032</v>
      </c>
      <c r="AL17" s="188">
        <v>2033</v>
      </c>
      <c r="AM17" s="188">
        <v>2034</v>
      </c>
      <c r="AN17" s="188">
        <v>2035</v>
      </c>
      <c r="AO17" s="188">
        <v>2036</v>
      </c>
      <c r="AP17" s="188">
        <v>2037</v>
      </c>
      <c r="AQ17" s="188">
        <v>2038</v>
      </c>
      <c r="AR17" s="188">
        <v>2039</v>
      </c>
      <c r="AS17" s="193">
        <v>2040</v>
      </c>
      <c r="AT17" s="173"/>
    </row>
    <row r="18" spans="1:61" x14ac:dyDescent="0.35">
      <c r="A18" s="175" t="s">
        <v>102</v>
      </c>
      <c r="B18" s="198"/>
      <c r="C18" s="178">
        <f>SUM(T18:AS18)</f>
        <v>752.36445720000006</v>
      </c>
      <c r="D18" s="178"/>
      <c r="E18" s="230"/>
      <c r="F18" s="230"/>
      <c r="G18" s="230"/>
      <c r="H18" s="230"/>
      <c r="I18" s="230"/>
      <c r="J18" s="230"/>
      <c r="K18" s="230"/>
      <c r="L18" s="230"/>
      <c r="M18" s="230"/>
      <c r="N18" s="230"/>
      <c r="O18" s="230"/>
      <c r="P18" s="230"/>
      <c r="Q18" s="230"/>
      <c r="R18" s="230"/>
      <c r="S18" s="230"/>
      <c r="T18" s="178">
        <v>5.3644571999999995</v>
      </c>
      <c r="U18" s="178">
        <v>0</v>
      </c>
      <c r="V18" s="178">
        <v>338</v>
      </c>
      <c r="W18" s="178">
        <v>240</v>
      </c>
      <c r="X18" s="178">
        <v>53.999999999999986</v>
      </c>
      <c r="Y18" s="178">
        <v>115</v>
      </c>
      <c r="Z18" s="178">
        <v>0</v>
      </c>
      <c r="AA18" s="178">
        <v>0</v>
      </c>
      <c r="AB18" s="178">
        <v>0</v>
      </c>
      <c r="AC18" s="178">
        <v>0</v>
      </c>
      <c r="AD18" s="178">
        <v>0</v>
      </c>
      <c r="AE18" s="178">
        <v>0</v>
      </c>
      <c r="AF18" s="178">
        <v>0</v>
      </c>
      <c r="AG18" s="178">
        <v>0</v>
      </c>
      <c r="AH18" s="178">
        <v>0</v>
      </c>
      <c r="AI18" s="178">
        <v>0</v>
      </c>
      <c r="AJ18" s="178">
        <v>0</v>
      </c>
      <c r="AK18" s="178">
        <v>0</v>
      </c>
      <c r="AL18" s="178">
        <v>0</v>
      </c>
      <c r="AM18" s="178">
        <v>0</v>
      </c>
      <c r="AN18" s="178">
        <v>0</v>
      </c>
      <c r="AO18" s="178">
        <v>0</v>
      </c>
      <c r="AP18" s="178">
        <v>0</v>
      </c>
      <c r="AQ18" s="178">
        <v>0</v>
      </c>
      <c r="AR18" s="178">
        <v>0</v>
      </c>
      <c r="AS18" s="227">
        <v>0</v>
      </c>
      <c r="AT18" s="517"/>
      <c r="AU18" s="139"/>
      <c r="AV18" s="139"/>
      <c r="AW18" s="139"/>
      <c r="AX18" s="139"/>
      <c r="AY18" s="139"/>
      <c r="AZ18" s="139"/>
      <c r="BA18" s="139"/>
      <c r="BB18" s="139"/>
      <c r="BC18" s="139"/>
      <c r="BD18" s="139"/>
      <c r="BE18" s="139"/>
      <c r="BF18" s="139"/>
      <c r="BG18" s="139"/>
      <c r="BH18" s="138"/>
      <c r="BI18" s="139"/>
    </row>
    <row r="19" spans="1:61" x14ac:dyDescent="0.35">
      <c r="A19" s="171" t="s">
        <v>103</v>
      </c>
      <c r="B19" s="199"/>
      <c r="C19" s="177"/>
      <c r="D19" s="177"/>
      <c r="E19" s="231"/>
      <c r="F19" s="231"/>
      <c r="G19" s="231"/>
      <c r="H19" s="231"/>
      <c r="I19" s="231"/>
      <c r="J19" s="231"/>
      <c r="K19" s="231"/>
      <c r="L19" s="231"/>
      <c r="M19" s="231"/>
      <c r="N19" s="231"/>
      <c r="O19" s="231"/>
      <c r="P19" s="231"/>
      <c r="Q19" s="231"/>
      <c r="R19" s="231"/>
      <c r="S19" s="231"/>
      <c r="T19" s="528">
        <v>3.04E-2</v>
      </c>
      <c r="U19" s="528"/>
      <c r="V19" s="528">
        <v>0.02</v>
      </c>
      <c r="W19" s="528">
        <v>3.0099999999999998E-2</v>
      </c>
      <c r="X19" s="528">
        <v>2.5600000000000001E-2</v>
      </c>
      <c r="Y19" s="528">
        <v>1.7299999999999999E-2</v>
      </c>
      <c r="Z19" s="528"/>
      <c r="AA19" s="528"/>
      <c r="AB19" s="528"/>
      <c r="AC19" s="177"/>
      <c r="AD19" s="177"/>
      <c r="AE19" s="177"/>
      <c r="AF19" s="177"/>
      <c r="AG19" s="177"/>
      <c r="AH19" s="177"/>
      <c r="AI19" s="177"/>
      <c r="AJ19" s="177"/>
      <c r="AK19" s="177"/>
      <c r="AL19" s="177"/>
      <c r="AM19" s="177"/>
      <c r="AN19" s="177"/>
      <c r="AO19" s="177"/>
      <c r="AP19" s="177"/>
      <c r="AQ19" s="177"/>
      <c r="AR19" s="177"/>
      <c r="AS19" s="228"/>
      <c r="AT19" s="517"/>
      <c r="AU19" s="139"/>
      <c r="AV19" s="139"/>
      <c r="AW19" s="139"/>
      <c r="AX19" s="139"/>
      <c r="AY19" s="139"/>
      <c r="AZ19" s="139"/>
      <c r="BA19" s="139"/>
      <c r="BB19" s="139"/>
      <c r="BC19" s="139"/>
      <c r="BD19" s="139"/>
      <c r="BE19" s="139"/>
      <c r="BF19" s="139"/>
      <c r="BG19" s="139"/>
      <c r="BH19" s="138"/>
      <c r="BI19" s="139"/>
    </row>
    <row r="20" spans="1:61" x14ac:dyDescent="0.35">
      <c r="A20" s="171" t="s">
        <v>104</v>
      </c>
      <c r="B20" s="199"/>
      <c r="C20" s="177"/>
      <c r="D20" s="177"/>
      <c r="E20" s="231"/>
      <c r="F20" s="231"/>
      <c r="G20" s="231"/>
      <c r="H20" s="231"/>
      <c r="I20" s="231"/>
      <c r="J20" s="231"/>
      <c r="K20" s="231"/>
      <c r="L20" s="231"/>
      <c r="M20" s="231"/>
      <c r="N20" s="231"/>
      <c r="O20" s="231"/>
      <c r="P20" s="231"/>
      <c r="Q20" s="231"/>
      <c r="R20" s="231"/>
      <c r="S20" s="231"/>
      <c r="T20" s="173">
        <v>25</v>
      </c>
      <c r="U20" s="173"/>
      <c r="V20" s="173">
        <v>10</v>
      </c>
      <c r="W20" s="173">
        <v>10</v>
      </c>
      <c r="X20" s="173">
        <v>10</v>
      </c>
      <c r="Y20" s="173">
        <v>10</v>
      </c>
      <c r="Z20" s="173"/>
      <c r="AA20" s="173"/>
      <c r="AB20" s="173"/>
      <c r="AC20" s="177"/>
      <c r="AD20" s="177"/>
      <c r="AE20" s="177"/>
      <c r="AF20" s="177"/>
      <c r="AG20" s="177"/>
      <c r="AH20" s="177"/>
      <c r="AI20" s="177"/>
      <c r="AJ20" s="177"/>
      <c r="AK20" s="177"/>
      <c r="AL20" s="177"/>
      <c r="AM20" s="177"/>
      <c r="AN20" s="177"/>
      <c r="AO20" s="177"/>
      <c r="AP20" s="177"/>
      <c r="AQ20" s="177"/>
      <c r="AR20" s="177"/>
      <c r="AS20" s="228"/>
      <c r="AT20" s="517"/>
      <c r="AU20" s="139"/>
      <c r="AV20" s="139"/>
      <c r="AW20" s="139"/>
      <c r="AX20" s="139"/>
      <c r="AY20" s="139"/>
      <c r="AZ20" s="139"/>
      <c r="BA20" s="139"/>
      <c r="BB20" s="139"/>
      <c r="BC20" s="139"/>
      <c r="BD20" s="139"/>
      <c r="BE20" s="139"/>
      <c r="BF20" s="139"/>
      <c r="BG20" s="139"/>
      <c r="BH20" s="138"/>
      <c r="BI20" s="139"/>
    </row>
    <row r="21" spans="1:61" x14ac:dyDescent="0.35">
      <c r="A21" s="171" t="s">
        <v>105</v>
      </c>
      <c r="B21" s="199"/>
      <c r="D21" s="177">
        <f>SUM(T21:AS21)</f>
        <v>752.36445720000017</v>
      </c>
      <c r="E21" s="231"/>
      <c r="F21" s="231"/>
      <c r="G21" s="231"/>
      <c r="H21" s="231"/>
      <c r="I21" s="231"/>
      <c r="J21" s="231"/>
      <c r="K21" s="231"/>
      <c r="L21" s="231"/>
      <c r="M21" s="231"/>
      <c r="N21" s="231"/>
      <c r="O21" s="231"/>
      <c r="P21" s="231"/>
      <c r="Q21" s="231"/>
      <c r="R21" s="231"/>
      <c r="S21" s="231"/>
      <c r="T21" s="177">
        <v>0</v>
      </c>
      <c r="U21" s="177">
        <v>0.14594010183423356</v>
      </c>
      <c r="V21" s="177">
        <v>15.504518919050801</v>
      </c>
      <c r="W21" s="177">
        <v>31.324234578004955</v>
      </c>
      <c r="X21" s="177">
        <v>55.247561263031699</v>
      </c>
      <c r="Y21" s="177">
        <v>64.293113292504458</v>
      </c>
      <c r="Z21" s="177">
        <v>71.155095124663077</v>
      </c>
      <c r="AA21" s="177">
        <v>72.810761340130426</v>
      </c>
      <c r="AB21" s="177">
        <v>74.506826665223485</v>
      </c>
      <c r="AC21" s="177">
        <v>76.244285977781146</v>
      </c>
      <c r="AD21" s="177">
        <v>78.024194301336365</v>
      </c>
      <c r="AE21" s="177">
        <v>79.847646793460697</v>
      </c>
      <c r="AF21" s="177">
        <v>62.990138815697492</v>
      </c>
      <c r="AG21" s="177">
        <v>45.616145840317543</v>
      </c>
      <c r="AH21" s="177">
        <v>15.560433543563502</v>
      </c>
      <c r="AI21" s="177">
        <v>6.4558177648553432</v>
      </c>
      <c r="AJ21" s="177">
        <v>0.2294345184460132</v>
      </c>
      <c r="AK21" s="177">
        <v>0.23646000507691378</v>
      </c>
      <c r="AL21" s="177">
        <v>0.24370062363343961</v>
      </c>
      <c r="AM21" s="177">
        <v>0.25116295366168384</v>
      </c>
      <c r="AN21" s="177">
        <v>0.25885378450726082</v>
      </c>
      <c r="AO21" s="177">
        <v>0.26678011531530599</v>
      </c>
      <c r="AP21" s="177">
        <v>0.27494916668600494</v>
      </c>
      <c r="AQ21" s="177">
        <v>0.28336834570800645</v>
      </c>
      <c r="AR21" s="177">
        <v>0.29204534503041862</v>
      </c>
      <c r="AS21" s="228">
        <v>0.30098802047975493</v>
      </c>
      <c r="AT21" s="517"/>
      <c r="AU21" s="139"/>
      <c r="AV21" s="139"/>
      <c r="AW21" s="139"/>
      <c r="AX21" s="139"/>
      <c r="AY21" s="139"/>
      <c r="AZ21" s="139"/>
      <c r="BA21" s="139"/>
      <c r="BB21" s="139"/>
      <c r="BC21" s="139"/>
      <c r="BD21" s="139"/>
      <c r="BE21" s="139"/>
      <c r="BF21" s="139"/>
      <c r="BG21" s="139"/>
      <c r="BH21" s="138"/>
      <c r="BI21" s="139"/>
    </row>
    <row r="22" spans="1:61" x14ac:dyDescent="0.35">
      <c r="A22" s="171" t="s">
        <v>106</v>
      </c>
      <c r="B22" s="199"/>
      <c r="C22" s="177"/>
      <c r="D22" s="177">
        <f>SUM(T22:AS22)</f>
        <v>96.801261292609823</v>
      </c>
      <c r="E22" s="231"/>
      <c r="F22" s="231"/>
      <c r="G22" s="231"/>
      <c r="H22" s="231"/>
      <c r="I22" s="231"/>
      <c r="J22" s="231"/>
      <c r="K22" s="231"/>
      <c r="L22" s="231"/>
      <c r="M22" s="231"/>
      <c r="N22" s="231"/>
      <c r="O22" s="231"/>
      <c r="P22" s="231"/>
      <c r="Q22" s="231"/>
      <c r="R22" s="231"/>
      <c r="S22" s="231"/>
      <c r="T22" s="177">
        <v>7.165970721354914E-3</v>
      </c>
      <c r="U22" s="177">
        <v>0.16173048795913522</v>
      </c>
      <c r="V22" s="177">
        <v>3.8117457031117796</v>
      </c>
      <c r="W22" s="177">
        <v>6.6849838900383052</v>
      </c>
      <c r="X22" s="177">
        <v>13.893450864403817</v>
      </c>
      <c r="Y22" s="177">
        <v>14.340612302007074</v>
      </c>
      <c r="Z22" s="177">
        <v>13.152693732952716</v>
      </c>
      <c r="AA22" s="177">
        <v>11.493750576617879</v>
      </c>
      <c r="AB22" s="177">
        <v>9.7943080950300381</v>
      </c>
      <c r="AC22" s="177">
        <v>8.0534214103503228</v>
      </c>
      <c r="AD22" s="177">
        <v>6.2700054873902324</v>
      </c>
      <c r="AE22" s="177">
        <v>4.4429451685782011</v>
      </c>
      <c r="AF22" s="177">
        <v>2.5875650748876198</v>
      </c>
      <c r="AG22" s="177">
        <v>1.2490197282198809</v>
      </c>
      <c r="AH22" s="177">
        <v>0.31314345233238494</v>
      </c>
      <c r="AI22" s="177">
        <v>0.10733039614959825</v>
      </c>
      <c r="AJ22" s="177">
        <v>7.8124539590817166E-2</v>
      </c>
      <c r="AK22" s="177">
        <v>7.1089664431345997E-2</v>
      </c>
      <c r="AL22" s="177">
        <v>6.3839377613554793E-2</v>
      </c>
      <c r="AM22" s="177">
        <v>5.6367076280292444E-2</v>
      </c>
      <c r="AN22" s="177">
        <v>4.8665971085944587E-2</v>
      </c>
      <c r="AO22" s="177">
        <v>4.0729051229846817E-2</v>
      </c>
      <c r="AP22" s="177">
        <v>3.2549090284049099E-2</v>
      </c>
      <c r="AQ22" s="177">
        <v>2.4118663676609229E-2</v>
      </c>
      <c r="AR22" s="177">
        <v>1.5430072930654643E-2</v>
      </c>
      <c r="AS22" s="228">
        <v>6.4754447363784898E-3</v>
      </c>
      <c r="AT22" s="517"/>
      <c r="AU22" s="139"/>
      <c r="AV22" s="139"/>
      <c r="AW22" s="139"/>
      <c r="AX22" s="139"/>
      <c r="AY22" s="139"/>
      <c r="AZ22" s="139"/>
      <c r="BA22" s="139"/>
      <c r="BB22" s="139"/>
      <c r="BC22" s="139"/>
      <c r="BD22" s="139"/>
      <c r="BE22" s="139"/>
      <c r="BF22" s="139"/>
      <c r="BG22" s="139"/>
      <c r="BH22" s="138"/>
      <c r="BI22" s="139"/>
    </row>
    <row r="23" spans="1:61" x14ac:dyDescent="0.35">
      <c r="A23" s="171"/>
      <c r="B23" s="199"/>
      <c r="C23" s="177"/>
      <c r="D23" s="177"/>
      <c r="E23" s="231"/>
      <c r="F23" s="231"/>
      <c r="G23" s="231"/>
      <c r="H23" s="231"/>
      <c r="I23" s="231"/>
      <c r="J23" s="231"/>
      <c r="K23" s="231"/>
      <c r="L23" s="231"/>
      <c r="M23" s="231"/>
      <c r="N23" s="231"/>
      <c r="O23" s="231"/>
      <c r="P23" s="231"/>
      <c r="Q23" s="231"/>
      <c r="R23" s="231"/>
      <c r="S23" s="231"/>
      <c r="T23" s="177"/>
      <c r="U23" s="177"/>
      <c r="V23" s="177"/>
      <c r="W23" s="177"/>
      <c r="X23" s="177"/>
      <c r="Y23" s="177"/>
      <c r="Z23" s="177"/>
      <c r="AA23" s="177"/>
      <c r="AB23" s="177"/>
      <c r="AC23" s="177"/>
      <c r="AD23" s="177"/>
      <c r="AE23" s="177"/>
      <c r="AF23" s="177"/>
      <c r="AG23" s="177"/>
      <c r="AH23" s="177"/>
      <c r="AI23" s="177"/>
      <c r="AJ23" s="177"/>
      <c r="AK23" s="177"/>
      <c r="AL23" s="177"/>
      <c r="AM23" s="177"/>
      <c r="AN23" s="177"/>
      <c r="AO23" s="177"/>
      <c r="AP23" s="177"/>
      <c r="AQ23" s="177"/>
      <c r="AR23" s="177"/>
      <c r="AS23" s="228"/>
      <c r="AT23" s="517"/>
      <c r="AU23" s="139"/>
      <c r="AV23" s="139"/>
      <c r="AW23" s="139"/>
      <c r="AX23" s="139"/>
      <c r="AY23" s="139"/>
      <c r="AZ23" s="139"/>
      <c r="BA23" s="139"/>
      <c r="BB23" s="139"/>
      <c r="BC23" s="139"/>
      <c r="BD23" s="139"/>
      <c r="BE23" s="139"/>
      <c r="BF23" s="139"/>
      <c r="BG23" s="139"/>
      <c r="BH23" s="138"/>
      <c r="BI23" s="139"/>
    </row>
    <row r="24" spans="1:61" x14ac:dyDescent="0.35">
      <c r="A24" s="203" t="s">
        <v>107</v>
      </c>
      <c r="B24" s="206"/>
      <c r="C24" s="205"/>
      <c r="D24" s="205">
        <f>SUM(T24:AS24)</f>
        <v>849.16571849261004</v>
      </c>
      <c r="E24" s="232"/>
      <c r="F24" s="232"/>
      <c r="G24" s="232"/>
      <c r="H24" s="232"/>
      <c r="I24" s="232"/>
      <c r="J24" s="232"/>
      <c r="K24" s="232"/>
      <c r="L24" s="232"/>
      <c r="M24" s="232"/>
      <c r="N24" s="232"/>
      <c r="O24" s="232"/>
      <c r="P24" s="232"/>
      <c r="Q24" s="232"/>
      <c r="R24" s="232"/>
      <c r="S24" s="232"/>
      <c r="T24" s="205">
        <f>SUM(T21:T22)</f>
        <v>7.165970721354914E-3</v>
      </c>
      <c r="U24" s="205">
        <f t="shared" ref="U24:AS24" si="3">SUM(U21:U22)</f>
        <v>0.30767058979336881</v>
      </c>
      <c r="V24" s="205">
        <f t="shared" si="3"/>
        <v>19.316264622162581</v>
      </c>
      <c r="W24" s="205">
        <f t="shared" si="3"/>
        <v>38.009218468043258</v>
      </c>
      <c r="X24" s="205">
        <f t="shared" si="3"/>
        <v>69.141012127435516</v>
      </c>
      <c r="Y24" s="205">
        <f t="shared" si="3"/>
        <v>78.633725594511532</v>
      </c>
      <c r="Z24" s="205">
        <f t="shared" si="3"/>
        <v>84.30778885761579</v>
      </c>
      <c r="AA24" s="205">
        <f>SUM(AA21:AA22)</f>
        <v>84.304511916748311</v>
      </c>
      <c r="AB24" s="205">
        <f t="shared" si="3"/>
        <v>84.301134760253518</v>
      </c>
      <c r="AC24" s="205">
        <f t="shared" si="3"/>
        <v>84.297707388131471</v>
      </c>
      <c r="AD24" s="205">
        <f t="shared" si="3"/>
        <v>84.294199788726601</v>
      </c>
      <c r="AE24" s="205">
        <f t="shared" si="3"/>
        <v>84.290591962038903</v>
      </c>
      <c r="AF24" s="205">
        <f t="shared" si="3"/>
        <v>65.577703890585113</v>
      </c>
      <c r="AG24" s="205">
        <f t="shared" si="3"/>
        <v>46.865165568537421</v>
      </c>
      <c r="AH24" s="205">
        <f t="shared" si="3"/>
        <v>15.873576995895887</v>
      </c>
      <c r="AI24" s="205">
        <f t="shared" si="3"/>
        <v>6.5631481610049418</v>
      </c>
      <c r="AJ24" s="205">
        <f t="shared" si="3"/>
        <v>0.30755905803683037</v>
      </c>
      <c r="AK24" s="205">
        <f t="shared" si="3"/>
        <v>0.30754966950825979</v>
      </c>
      <c r="AL24" s="205">
        <f t="shared" si="3"/>
        <v>0.30754000124699443</v>
      </c>
      <c r="AM24" s="205">
        <f t="shared" si="3"/>
        <v>0.30753002994197631</v>
      </c>
      <c r="AN24" s="205">
        <f t="shared" si="3"/>
        <v>0.30751975559320543</v>
      </c>
      <c r="AO24" s="205">
        <f t="shared" si="3"/>
        <v>0.30750916654515281</v>
      </c>
      <c r="AP24" s="205">
        <f t="shared" si="3"/>
        <v>0.30749825697005406</v>
      </c>
      <c r="AQ24" s="205">
        <f t="shared" si="3"/>
        <v>0.30748700938461571</v>
      </c>
      <c r="AR24" s="205">
        <f t="shared" si="3"/>
        <v>0.30747541796107325</v>
      </c>
      <c r="AS24" s="229">
        <f t="shared" si="3"/>
        <v>0.30746346521613344</v>
      </c>
      <c r="AT24" s="517"/>
      <c r="AU24" s="139"/>
      <c r="AV24" s="139"/>
      <c r="AW24" s="139"/>
      <c r="AX24" s="139"/>
      <c r="AY24" s="139"/>
      <c r="AZ24" s="139"/>
      <c r="BA24" s="139"/>
      <c r="BB24" s="139"/>
      <c r="BC24" s="139"/>
      <c r="BD24" s="139"/>
      <c r="BE24" s="139"/>
      <c r="BF24" s="139"/>
      <c r="BG24" s="139"/>
      <c r="BH24" s="138"/>
      <c r="BI24" s="139"/>
    </row>
    <row r="25" spans="1:61" x14ac:dyDescent="0.35">
      <c r="A25" s="195"/>
      <c r="B25" s="196"/>
      <c r="C25" s="233"/>
      <c r="D25" s="233"/>
      <c r="E25" s="233"/>
      <c r="F25" s="233"/>
      <c r="G25" s="233"/>
      <c r="H25" s="233"/>
      <c r="I25" s="233"/>
      <c r="J25" s="233"/>
      <c r="K25" s="233"/>
      <c r="L25" s="233"/>
      <c r="M25" s="233"/>
      <c r="N25" s="233"/>
      <c r="O25" s="233"/>
      <c r="P25" s="233"/>
      <c r="Q25" s="233"/>
      <c r="R25" s="233"/>
      <c r="S25" s="233"/>
      <c r="T25" s="233"/>
      <c r="U25" s="233"/>
      <c r="V25" s="233"/>
      <c r="W25" s="233"/>
      <c r="X25" s="233"/>
      <c r="Y25" s="233"/>
      <c r="Z25" s="233"/>
      <c r="AA25" s="233"/>
      <c r="AB25" s="233"/>
      <c r="AC25" s="233"/>
      <c r="AD25" s="233"/>
      <c r="AE25" s="233"/>
      <c r="AF25" s="233"/>
      <c r="AG25" s="233"/>
      <c r="AH25" s="233"/>
      <c r="AI25" s="233"/>
      <c r="AJ25" s="233"/>
      <c r="AK25" s="233"/>
      <c r="AL25" s="233"/>
      <c r="AM25" s="233"/>
      <c r="AN25" s="233"/>
      <c r="AO25" s="233"/>
      <c r="AP25" s="233"/>
      <c r="AQ25" s="233"/>
      <c r="AR25" s="233"/>
      <c r="AS25" s="234"/>
      <c r="AT25" s="3"/>
    </row>
    <row r="26" spans="1:61" x14ac:dyDescent="0.35">
      <c r="A26" s="199"/>
      <c r="B26" s="199"/>
      <c r="C26" s="231"/>
      <c r="D26" s="231"/>
      <c r="E26" s="231"/>
      <c r="F26" s="231"/>
      <c r="G26" s="231"/>
      <c r="H26" s="231"/>
      <c r="I26" s="231"/>
      <c r="J26" s="231"/>
      <c r="K26" s="231"/>
      <c r="L26" s="231"/>
      <c r="M26" s="231"/>
      <c r="N26" s="231"/>
      <c r="O26" s="231"/>
      <c r="P26" s="231"/>
      <c r="Q26" s="231"/>
      <c r="R26" s="231"/>
      <c r="S26" s="231"/>
      <c r="T26" s="231"/>
      <c r="U26" s="231"/>
      <c r="V26" s="231"/>
      <c r="W26" s="231"/>
      <c r="X26" s="231"/>
      <c r="Y26" s="231"/>
      <c r="Z26" s="231"/>
      <c r="AA26" s="231"/>
      <c r="AB26" s="231"/>
      <c r="AC26" s="231"/>
      <c r="AD26" s="231"/>
      <c r="AE26" s="231"/>
      <c r="AF26" s="231"/>
      <c r="AG26" s="231"/>
      <c r="AH26" s="231"/>
      <c r="AI26" s="231"/>
      <c r="AJ26" s="231"/>
      <c r="AK26" s="231"/>
      <c r="AL26" s="231"/>
      <c r="AM26" s="231"/>
      <c r="AN26" s="231"/>
      <c r="AO26" s="231"/>
      <c r="AP26" s="231"/>
      <c r="AQ26" s="231"/>
      <c r="AR26" s="231"/>
      <c r="AS26" s="231"/>
      <c r="AT26" s="3"/>
    </row>
    <row r="27" spans="1:61" x14ac:dyDescent="0.35">
      <c r="A27" s="200" t="s">
        <v>108</v>
      </c>
      <c r="B27" s="201"/>
      <c r="C27" s="202">
        <f>C13+D21</f>
        <v>86177.658081421789</v>
      </c>
      <c r="D27" s="202">
        <f>D13+D24</f>
        <v>138336.13660097469</v>
      </c>
      <c r="E27" s="202">
        <f t="shared" ref="E27:G27" si="4">E13</f>
        <v>3092.4412254504618</v>
      </c>
      <c r="F27" s="202">
        <f t="shared" si="4"/>
        <v>0</v>
      </c>
      <c r="G27" s="202">
        <f t="shared" si="4"/>
        <v>0</v>
      </c>
      <c r="H27" s="202">
        <f>H13</f>
        <v>0</v>
      </c>
      <c r="I27" s="202">
        <f t="shared" ref="I27:R27" si="5">I13</f>
        <v>66.54136473282631</v>
      </c>
      <c r="J27" s="202">
        <f t="shared" si="5"/>
        <v>384.61331827692288</v>
      </c>
      <c r="K27" s="202">
        <f t="shared" si="5"/>
        <v>1179.6909548582785</v>
      </c>
      <c r="L27" s="202">
        <f t="shared" si="5"/>
        <v>2268.5637552700618</v>
      </c>
      <c r="M27" s="202">
        <f t="shared" si="5"/>
        <v>3058.0325679716379</v>
      </c>
      <c r="N27" s="202">
        <f t="shared" si="5"/>
        <v>3908.8378480906554</v>
      </c>
      <c r="O27" s="202">
        <f t="shared" si="5"/>
        <v>4979.5350893046243</v>
      </c>
      <c r="P27" s="202">
        <f t="shared" si="5"/>
        <v>5417.6161918590469</v>
      </c>
      <c r="Q27" s="202">
        <f t="shared" si="5"/>
        <v>5536.2789053399092</v>
      </c>
      <c r="R27" s="202">
        <f t="shared" si="5"/>
        <v>5536.2789053399119</v>
      </c>
      <c r="S27" s="202">
        <f>S13</f>
        <v>5536.2789053399129</v>
      </c>
      <c r="T27" s="202">
        <f>T13+T24</f>
        <v>5536.286071310632</v>
      </c>
      <c r="U27" s="202">
        <f t="shared" ref="U27:AS27" si="6">U13+U24</f>
        <v>5536.5865759297048</v>
      </c>
      <c r="V27" s="202">
        <f t="shared" si="6"/>
        <v>5555.5951699620737</v>
      </c>
      <c r="W27" s="202">
        <f t="shared" si="6"/>
        <v>5574.2880881858828</v>
      </c>
      <c r="X27" s="202">
        <f t="shared" si="6"/>
        <v>5538.8786106203906</v>
      </c>
      <c r="Y27" s="202">
        <f t="shared" si="6"/>
        <v>5230.2993571850893</v>
      </c>
      <c r="Z27" s="202">
        <f t="shared" si="6"/>
        <v>5235.9734204481965</v>
      </c>
      <c r="AA27" s="202">
        <f t="shared" si="6"/>
        <v>5235.9701435073293</v>
      </c>
      <c r="AB27" s="202">
        <f t="shared" si="6"/>
        <v>5235.9667663508335</v>
      </c>
      <c r="AC27" s="202">
        <f t="shared" si="6"/>
        <v>5235.9633389787123</v>
      </c>
      <c r="AD27" s="202">
        <f t="shared" si="6"/>
        <v>5235.9598313793076</v>
      </c>
      <c r="AE27" s="202">
        <f t="shared" si="6"/>
        <v>5235.95622355262</v>
      </c>
      <c r="AF27" s="202">
        <f t="shared" si="6"/>
        <v>5217.2433354811665</v>
      </c>
      <c r="AG27" s="202">
        <f t="shared" si="6"/>
        <v>5198.5307971591192</v>
      </c>
      <c r="AH27" s="202">
        <f t="shared" si="6"/>
        <v>5167.539208586476</v>
      </c>
      <c r="AI27" s="202">
        <f t="shared" si="6"/>
        <v>5158.228757487791</v>
      </c>
      <c r="AJ27" s="202">
        <f t="shared" si="6"/>
        <v>4356.8954263665837</v>
      </c>
      <c r="AK27" s="202">
        <f t="shared" si="6"/>
        <v>3268.02265407186</v>
      </c>
      <c r="AL27" s="202">
        <f t="shared" si="6"/>
        <v>2478.5539607029082</v>
      </c>
      <c r="AM27" s="202">
        <f t="shared" si="6"/>
        <v>1461.438097370162</v>
      </c>
      <c r="AN27" s="202">
        <f t="shared" si="6"/>
        <v>557.05152000820522</v>
      </c>
      <c r="AO27" s="202">
        <f t="shared" si="6"/>
        <v>118.97029034582201</v>
      </c>
      <c r="AP27" s="202">
        <f t="shared" si="6"/>
        <v>0.30749825697005406</v>
      </c>
      <c r="AQ27" s="202">
        <f t="shared" si="6"/>
        <v>0.30748700938461571</v>
      </c>
      <c r="AR27" s="202">
        <f t="shared" si="6"/>
        <v>0.30747541796107325</v>
      </c>
      <c r="AS27" s="235">
        <f t="shared" si="6"/>
        <v>0.30746346521613344</v>
      </c>
      <c r="AT27" s="3"/>
    </row>
    <row r="28" spans="1:61" x14ac:dyDescent="0.35">
      <c r="A28" s="172"/>
      <c r="B28" s="172"/>
      <c r="C28" s="174"/>
      <c r="D28" s="174"/>
      <c r="E28" s="172"/>
      <c r="F28" s="172"/>
      <c r="G28" s="172"/>
      <c r="H28" s="172"/>
      <c r="I28" s="172"/>
      <c r="J28" s="172"/>
      <c r="K28" s="172"/>
      <c r="L28" s="172"/>
      <c r="M28" s="172"/>
      <c r="N28" s="172"/>
      <c r="O28" s="172"/>
      <c r="P28" s="172"/>
      <c r="Q28" s="172"/>
      <c r="R28" s="172"/>
      <c r="S28" s="172"/>
      <c r="T28" s="172"/>
      <c r="U28" s="172"/>
      <c r="V28" s="172"/>
      <c r="W28" s="172"/>
      <c r="X28" s="172"/>
      <c r="Y28" s="172"/>
      <c r="Z28" s="172"/>
      <c r="AA28" s="172"/>
      <c r="AB28" s="172"/>
      <c r="AC28" s="172"/>
      <c r="AD28" s="172"/>
      <c r="AE28" s="172"/>
      <c r="AF28" s="172"/>
      <c r="AG28" s="172"/>
      <c r="AH28" s="172"/>
      <c r="AI28" s="172"/>
      <c r="AJ28" s="172"/>
      <c r="AK28" s="172"/>
      <c r="AL28" s="172"/>
      <c r="AM28" s="172"/>
      <c r="AN28" s="172"/>
      <c r="AO28" s="172"/>
      <c r="AP28" s="172"/>
      <c r="AQ28" s="172"/>
      <c r="AR28" s="172"/>
      <c r="AS28" s="172"/>
      <c r="AT28" s="3"/>
    </row>
  </sheetData>
  <mergeCells count="1">
    <mergeCell ref="A2:F2"/>
  </mergeCells>
  <pageMargins left="0.7" right="0.7" top="0.75" bottom="0.75" header="0.3" footer="0.3"/>
  <pageSetup paperSize="5" scale="35" orientation="landscape" r:id="rId1"/>
  <ignoredErrors>
    <ignoredError sqref="T24 U24:Z24 AB24:AS24" formulaRange="1"/>
  </ignoredErrors>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883C7-981E-443E-A2DF-AFB12DC8A4F3}">
  <sheetPr>
    <pageSetUpPr fitToPage="1"/>
  </sheetPr>
  <dimension ref="A1:CB25"/>
  <sheetViews>
    <sheetView showGridLines="0" zoomScale="90" zoomScaleNormal="90" workbookViewId="0">
      <pane ySplit="6" topLeftCell="A7" activePane="bottomLeft" state="frozen"/>
      <selection activeCell="K60" sqref="K60"/>
      <selection pane="bottomLeft" sqref="A1:XFD1048576"/>
    </sheetView>
  </sheetViews>
  <sheetFormatPr defaultColWidth="9.1796875" defaultRowHeight="11.5" x14ac:dyDescent="0.25"/>
  <cols>
    <col min="1" max="1" width="29.453125" style="28" customWidth="1"/>
    <col min="2" max="2" width="9" style="28" customWidth="1"/>
    <col min="3" max="3" width="23" style="28" customWidth="1"/>
    <col min="4" max="4" width="26.453125" style="28" customWidth="1"/>
    <col min="5" max="24" width="11.453125" style="16" customWidth="1"/>
    <col min="25" max="26" width="12.54296875" style="16" customWidth="1"/>
    <col min="27" max="27" width="13.81640625" style="16" customWidth="1"/>
    <col min="28" max="48" width="12.54296875" style="16" customWidth="1"/>
    <col min="49" max="49" width="10.1796875" style="16" customWidth="1"/>
    <col min="50" max="50" width="12.81640625" style="16" customWidth="1"/>
    <col min="51" max="51" width="21" style="16" customWidth="1"/>
    <col min="52" max="52" width="19.1796875" style="16" customWidth="1"/>
    <col min="53" max="53" width="28.453125" style="16" customWidth="1"/>
    <col min="54" max="54" width="19.54296875" style="16" customWidth="1"/>
    <col min="55" max="56" width="15.54296875" style="16" customWidth="1"/>
    <col min="57" max="57" width="15.1796875" style="16" customWidth="1"/>
    <col min="58" max="58" width="13.54296875" style="16" customWidth="1"/>
    <col min="59" max="59" width="15.54296875" style="16" customWidth="1"/>
    <col min="60" max="64" width="17" style="16" customWidth="1"/>
    <col min="65" max="66" width="15.54296875" style="16" customWidth="1"/>
    <col min="67" max="67" width="13.54296875" style="16" customWidth="1"/>
    <col min="68" max="68" width="22" style="16" customWidth="1"/>
    <col min="69" max="69" width="18" style="16" customWidth="1"/>
    <col min="70" max="70" width="18" style="16" bestFit="1" customWidth="1"/>
    <col min="71" max="74" width="10.1796875" style="16" bestFit="1" customWidth="1"/>
    <col min="75" max="76" width="11.453125" style="16" bestFit="1" customWidth="1"/>
    <col min="77" max="79" width="10.1796875" style="16" bestFit="1" customWidth="1"/>
    <col min="80" max="80" width="20.1796875" style="16" bestFit="1" customWidth="1"/>
    <col min="81" max="16384" width="9.1796875" style="16"/>
  </cols>
  <sheetData>
    <row r="1" spans="1:48" ht="15.5" x14ac:dyDescent="0.35">
      <c r="A1" s="251" t="s">
        <v>109</v>
      </c>
    </row>
    <row r="2" spans="1:48" ht="12.5" x14ac:dyDescent="0.25">
      <c r="A2" s="28" t="s">
        <v>110</v>
      </c>
    </row>
    <row r="3" spans="1:48" x14ac:dyDescent="0.25">
      <c r="A3" s="15"/>
    </row>
    <row r="4" spans="1:48" x14ac:dyDescent="0.25">
      <c r="A4" s="545" t="s">
        <v>111</v>
      </c>
      <c r="B4" s="546"/>
      <c r="C4" s="546"/>
      <c r="D4" s="546"/>
      <c r="E4" s="546"/>
      <c r="F4" s="546"/>
      <c r="G4" s="546"/>
      <c r="H4" s="546"/>
      <c r="I4" s="546"/>
      <c r="J4" s="546"/>
      <c r="K4" s="546"/>
      <c r="L4" s="546"/>
      <c r="M4" s="546"/>
      <c r="N4" s="546"/>
      <c r="O4" s="546"/>
      <c r="P4" s="546"/>
      <c r="Q4" s="546"/>
      <c r="R4" s="546"/>
      <c r="S4" s="546"/>
      <c r="T4" s="546"/>
      <c r="U4" s="546"/>
      <c r="V4" s="546"/>
      <c r="W4" s="546"/>
      <c r="X4" s="546"/>
      <c r="Y4" s="546"/>
      <c r="Z4" s="546"/>
      <c r="AA4" s="546"/>
      <c r="AB4" s="546"/>
      <c r="AC4" s="546"/>
      <c r="AD4" s="546"/>
      <c r="AE4" s="546"/>
      <c r="AF4" s="546"/>
      <c r="AG4" s="546"/>
      <c r="AH4" s="546"/>
      <c r="AI4" s="546"/>
      <c r="AJ4" s="546"/>
      <c r="AK4" s="546"/>
      <c r="AL4" s="546"/>
      <c r="AM4" s="546"/>
      <c r="AN4" s="546"/>
      <c r="AO4" s="546"/>
      <c r="AP4" s="546"/>
      <c r="AQ4" s="546"/>
      <c r="AR4" s="546"/>
      <c r="AS4" s="546"/>
      <c r="AT4" s="546"/>
      <c r="AU4" s="546"/>
      <c r="AV4" s="547"/>
    </row>
    <row r="5" spans="1:48" s="14" customFormat="1" ht="24.65" customHeight="1" x14ac:dyDescent="0.25">
      <c r="A5" s="552" t="s">
        <v>112</v>
      </c>
      <c r="B5" s="550" t="s">
        <v>113</v>
      </c>
      <c r="C5" s="548" t="s">
        <v>114</v>
      </c>
      <c r="D5" s="554" t="s">
        <v>115</v>
      </c>
      <c r="E5" s="540" t="s">
        <v>69</v>
      </c>
      <c r="F5" s="540"/>
      <c r="G5" s="540"/>
      <c r="H5" s="540"/>
      <c r="I5" s="540"/>
      <c r="J5" s="540"/>
      <c r="K5" s="540"/>
      <c r="L5" s="540"/>
      <c r="M5" s="540"/>
      <c r="N5" s="540"/>
      <c r="O5" s="540"/>
      <c r="P5" s="540"/>
      <c r="Q5" s="540"/>
      <c r="R5" s="540"/>
      <c r="S5" s="540"/>
      <c r="T5" s="540"/>
      <c r="U5" s="540"/>
      <c r="V5" s="540"/>
      <c r="W5" s="540"/>
      <c r="X5" s="541"/>
      <c r="Y5" s="542" t="s">
        <v>116</v>
      </c>
      <c r="Z5" s="543"/>
      <c r="AA5" s="543"/>
      <c r="AB5" s="544"/>
      <c r="AC5" s="540" t="s">
        <v>117</v>
      </c>
      <c r="AD5" s="540"/>
      <c r="AE5" s="540"/>
      <c r="AF5" s="540"/>
      <c r="AG5" s="540"/>
      <c r="AH5" s="540"/>
      <c r="AI5" s="540"/>
      <c r="AJ5" s="540"/>
      <c r="AK5" s="540"/>
      <c r="AL5" s="540"/>
      <c r="AM5" s="540"/>
      <c r="AN5" s="540"/>
      <c r="AO5" s="540"/>
      <c r="AP5" s="540"/>
      <c r="AQ5" s="540"/>
      <c r="AR5" s="540"/>
      <c r="AS5" s="540"/>
      <c r="AT5" s="540"/>
      <c r="AU5" s="540"/>
      <c r="AV5" s="541"/>
    </row>
    <row r="6" spans="1:48" x14ac:dyDescent="0.25">
      <c r="A6" s="553"/>
      <c r="B6" s="551"/>
      <c r="C6" s="549"/>
      <c r="D6" s="555"/>
      <c r="E6" s="217">
        <v>2016</v>
      </c>
      <c r="F6" s="217">
        <v>2017</v>
      </c>
      <c r="G6" s="217">
        <v>2018</v>
      </c>
      <c r="H6" s="217">
        <v>2019</v>
      </c>
      <c r="I6" s="217">
        <v>2020</v>
      </c>
      <c r="J6" s="217">
        <v>2021</v>
      </c>
      <c r="K6" s="217">
        <v>2022</v>
      </c>
      <c r="L6" s="217">
        <v>2023</v>
      </c>
      <c r="M6" s="217">
        <v>2024</v>
      </c>
      <c r="N6" s="217">
        <v>2025</v>
      </c>
      <c r="O6" s="217">
        <v>2026</v>
      </c>
      <c r="P6" s="217">
        <v>2027</v>
      </c>
      <c r="Q6" s="217">
        <v>2028</v>
      </c>
      <c r="R6" s="217">
        <v>2029</v>
      </c>
      <c r="S6" s="217">
        <v>2030</v>
      </c>
      <c r="T6" s="217">
        <v>2031</v>
      </c>
      <c r="U6" s="217">
        <v>2032</v>
      </c>
      <c r="V6" s="217">
        <v>2033</v>
      </c>
      <c r="W6" s="217">
        <v>2034</v>
      </c>
      <c r="X6" s="223" t="s">
        <v>118</v>
      </c>
      <c r="Y6" s="224" t="s">
        <v>119</v>
      </c>
      <c r="Z6" s="219" t="s">
        <v>120</v>
      </c>
      <c r="AA6" s="219" t="s">
        <v>121</v>
      </c>
      <c r="AB6" s="220" t="s">
        <v>122</v>
      </c>
      <c r="AC6" s="253">
        <v>2016</v>
      </c>
      <c r="AD6" s="254">
        <v>2017</v>
      </c>
      <c r="AE6" s="254">
        <v>2018</v>
      </c>
      <c r="AF6" s="254">
        <v>2019</v>
      </c>
      <c r="AG6" s="254">
        <v>2020</v>
      </c>
      <c r="AH6" s="254">
        <v>2021</v>
      </c>
      <c r="AI6" s="254">
        <v>2022</v>
      </c>
      <c r="AJ6" s="254">
        <v>2023</v>
      </c>
      <c r="AK6" s="254">
        <v>2024</v>
      </c>
      <c r="AL6" s="254">
        <v>2025</v>
      </c>
      <c r="AM6" s="254">
        <v>2026</v>
      </c>
      <c r="AN6" s="254">
        <v>2027</v>
      </c>
      <c r="AO6" s="254">
        <v>2028</v>
      </c>
      <c r="AP6" s="254">
        <v>2029</v>
      </c>
      <c r="AQ6" s="254">
        <v>2030</v>
      </c>
      <c r="AR6" s="254">
        <v>2031</v>
      </c>
      <c r="AS6" s="254">
        <v>2032</v>
      </c>
      <c r="AT6" s="254">
        <v>2033</v>
      </c>
      <c r="AU6" s="254">
        <v>2034</v>
      </c>
      <c r="AV6" s="255" t="s">
        <v>118</v>
      </c>
    </row>
    <row r="7" spans="1:48" x14ac:dyDescent="0.25">
      <c r="A7" s="243"/>
      <c r="B7" s="15"/>
      <c r="C7" s="15"/>
      <c r="D7" s="15"/>
      <c r="E7" s="240"/>
      <c r="F7" s="240"/>
      <c r="G7" s="240"/>
      <c r="H7" s="240"/>
      <c r="I7" s="240"/>
      <c r="J7" s="240"/>
      <c r="K7" s="240"/>
      <c r="L7" s="240"/>
      <c r="M7" s="240"/>
      <c r="N7" s="240"/>
      <c r="O7" s="240"/>
      <c r="P7" s="240"/>
      <c r="Q7" s="240"/>
      <c r="R7" s="240"/>
      <c r="S7" s="240"/>
      <c r="T7" s="240"/>
      <c r="U7" s="240"/>
      <c r="V7" s="240"/>
      <c r="W7" s="240"/>
      <c r="X7" s="244"/>
      <c r="Y7" s="225"/>
      <c r="Z7" s="111"/>
      <c r="AA7" s="111"/>
      <c r="AB7" s="222"/>
      <c r="AC7" s="256"/>
      <c r="AD7" s="240"/>
      <c r="AE7" s="240"/>
      <c r="AF7" s="240"/>
      <c r="AG7" s="240"/>
      <c r="AH7" s="240"/>
      <c r="AI7" s="240"/>
      <c r="AJ7" s="240"/>
      <c r="AK7" s="240"/>
      <c r="AL7" s="240"/>
      <c r="AM7" s="240"/>
      <c r="AN7" s="240"/>
      <c r="AO7" s="240"/>
      <c r="AP7" s="240"/>
      <c r="AQ7" s="240"/>
      <c r="AR7" s="240"/>
      <c r="AS7" s="240"/>
      <c r="AT7" s="240"/>
      <c r="AU7" s="240"/>
      <c r="AV7" s="244"/>
    </row>
    <row r="8" spans="1:48" x14ac:dyDescent="0.25">
      <c r="A8" s="245" t="s">
        <v>123</v>
      </c>
      <c r="B8" s="226" t="s">
        <v>72</v>
      </c>
      <c r="C8" s="226" t="s">
        <v>124</v>
      </c>
      <c r="D8" s="226" t="s">
        <v>125</v>
      </c>
      <c r="E8" s="46">
        <v>0</v>
      </c>
      <c r="F8" s="46">
        <v>0</v>
      </c>
      <c r="G8" s="46">
        <v>0</v>
      </c>
      <c r="H8" s="46">
        <v>0</v>
      </c>
      <c r="I8" s="46">
        <v>0</v>
      </c>
      <c r="J8" s="46">
        <v>0</v>
      </c>
      <c r="K8" s="46">
        <v>0</v>
      </c>
      <c r="L8" s="46">
        <v>0</v>
      </c>
      <c r="M8" s="46">
        <v>0</v>
      </c>
      <c r="N8" s="46">
        <v>0</v>
      </c>
      <c r="O8" s="46">
        <v>0</v>
      </c>
      <c r="P8" s="46">
        <v>0</v>
      </c>
      <c r="Q8" s="46">
        <v>0</v>
      </c>
      <c r="R8" s="46">
        <v>0</v>
      </c>
      <c r="S8" s="46">
        <v>0</v>
      </c>
      <c r="T8" s="46">
        <v>0</v>
      </c>
      <c r="U8" s="46">
        <v>0</v>
      </c>
      <c r="V8" s="46">
        <v>0</v>
      </c>
      <c r="W8" s="46">
        <v>0</v>
      </c>
      <c r="X8" s="246">
        <f t="shared" ref="X8:X11" si="0">SUM(E8:W8)</f>
        <v>0</v>
      </c>
      <c r="Y8" s="17">
        <v>1</v>
      </c>
      <c r="Z8" s="18">
        <v>0.56599999999999995</v>
      </c>
      <c r="AA8" s="18">
        <v>0.23499999999999999</v>
      </c>
      <c r="AB8" s="19">
        <v>0.2</v>
      </c>
      <c r="AC8" s="257">
        <f t="shared" ref="AC8:AU8" si="1">+E8*($Z8+$AA8)</f>
        <v>0</v>
      </c>
      <c r="AD8" s="241">
        <f t="shared" si="1"/>
        <v>0</v>
      </c>
      <c r="AE8" s="241">
        <f t="shared" si="1"/>
        <v>0</v>
      </c>
      <c r="AF8" s="241">
        <f t="shared" si="1"/>
        <v>0</v>
      </c>
      <c r="AG8" s="241">
        <f t="shared" si="1"/>
        <v>0</v>
      </c>
      <c r="AH8" s="241">
        <f t="shared" si="1"/>
        <v>0</v>
      </c>
      <c r="AI8" s="241">
        <f t="shared" si="1"/>
        <v>0</v>
      </c>
      <c r="AJ8" s="241">
        <f t="shared" si="1"/>
        <v>0</v>
      </c>
      <c r="AK8" s="241">
        <f t="shared" si="1"/>
        <v>0</v>
      </c>
      <c r="AL8" s="241">
        <f t="shared" si="1"/>
        <v>0</v>
      </c>
      <c r="AM8" s="241">
        <f t="shared" si="1"/>
        <v>0</v>
      </c>
      <c r="AN8" s="241">
        <f t="shared" si="1"/>
        <v>0</v>
      </c>
      <c r="AO8" s="241">
        <f t="shared" si="1"/>
        <v>0</v>
      </c>
      <c r="AP8" s="241">
        <f t="shared" si="1"/>
        <v>0</v>
      </c>
      <c r="AQ8" s="241">
        <f t="shared" si="1"/>
        <v>0</v>
      </c>
      <c r="AR8" s="241">
        <f t="shared" si="1"/>
        <v>0</v>
      </c>
      <c r="AS8" s="241">
        <f t="shared" si="1"/>
        <v>0</v>
      </c>
      <c r="AT8" s="241">
        <f t="shared" si="1"/>
        <v>0</v>
      </c>
      <c r="AU8" s="241">
        <f t="shared" si="1"/>
        <v>0</v>
      </c>
      <c r="AV8" s="246">
        <f t="shared" ref="AV8:AV11" si="2">SUM(AC8:AU8)</f>
        <v>0</v>
      </c>
    </row>
    <row r="9" spans="1:48" x14ac:dyDescent="0.25">
      <c r="A9" s="245" t="s">
        <v>126</v>
      </c>
      <c r="B9" s="226" t="s">
        <v>72</v>
      </c>
      <c r="C9" s="226" t="s">
        <v>124</v>
      </c>
      <c r="D9" s="226" t="s">
        <v>125</v>
      </c>
      <c r="E9" s="46">
        <v>0</v>
      </c>
      <c r="F9" s="46">
        <v>0</v>
      </c>
      <c r="G9" s="46">
        <v>0</v>
      </c>
      <c r="H9" s="46">
        <v>0</v>
      </c>
      <c r="I9" s="46">
        <v>0</v>
      </c>
      <c r="J9" s="46">
        <v>0</v>
      </c>
      <c r="K9" s="46">
        <v>0</v>
      </c>
      <c r="L9" s="46">
        <v>0</v>
      </c>
      <c r="M9" s="46">
        <v>0</v>
      </c>
      <c r="N9" s="46">
        <v>0</v>
      </c>
      <c r="O9" s="46">
        <v>0</v>
      </c>
      <c r="P9" s="46">
        <v>0</v>
      </c>
      <c r="Q9" s="46">
        <v>0</v>
      </c>
      <c r="R9" s="46">
        <v>0</v>
      </c>
      <c r="S9" s="46">
        <v>0</v>
      </c>
      <c r="T9" s="46">
        <v>0</v>
      </c>
      <c r="U9" s="46">
        <v>0</v>
      </c>
      <c r="V9" s="46">
        <v>0</v>
      </c>
      <c r="W9" s="46">
        <v>0</v>
      </c>
      <c r="X9" s="246">
        <f t="shared" ref="X9" si="3">SUM(E9:W9)</f>
        <v>0</v>
      </c>
      <c r="Y9" s="17">
        <v>1</v>
      </c>
      <c r="Z9" s="18">
        <v>0.56599999999999995</v>
      </c>
      <c r="AA9" s="18">
        <v>0.23499999999999999</v>
      </c>
      <c r="AB9" s="19">
        <v>0.2</v>
      </c>
      <c r="AC9" s="257">
        <f t="shared" ref="AC9" si="4">+E9*($Z9+$AA9)</f>
        <v>0</v>
      </c>
      <c r="AD9" s="241">
        <f t="shared" ref="AD9" si="5">+F9*($Z9+$AA9)</f>
        <v>0</v>
      </c>
      <c r="AE9" s="241">
        <f t="shared" ref="AE9" si="6">+G9*($Z9+$AA9)</f>
        <v>0</v>
      </c>
      <c r="AF9" s="241">
        <f t="shared" ref="AF9" si="7">+H9*($Z9+$AA9)</f>
        <v>0</v>
      </c>
      <c r="AG9" s="241">
        <f t="shared" ref="AG9" si="8">+I9*($Z9+$AA9)</f>
        <v>0</v>
      </c>
      <c r="AH9" s="241">
        <f t="shared" ref="AH9" si="9">+J9*($Z9+$AA9)</f>
        <v>0</v>
      </c>
      <c r="AI9" s="241">
        <f t="shared" ref="AI9" si="10">+K9*($Z9+$AA9)</f>
        <v>0</v>
      </c>
      <c r="AJ9" s="241">
        <f t="shared" ref="AJ9" si="11">+L9*($Z9+$AA9)</f>
        <v>0</v>
      </c>
      <c r="AK9" s="241">
        <f t="shared" ref="AK9" si="12">+M9*($Z9+$AA9)</f>
        <v>0</v>
      </c>
      <c r="AL9" s="241">
        <f t="shared" ref="AL9" si="13">+N9*($Z9+$AA9)</f>
        <v>0</v>
      </c>
      <c r="AM9" s="241">
        <f t="shared" ref="AM9" si="14">+O9*($Z9+$AA9)</f>
        <v>0</v>
      </c>
      <c r="AN9" s="241">
        <f t="shared" ref="AN9" si="15">+P9*($Z9+$AA9)</f>
        <v>0</v>
      </c>
      <c r="AO9" s="241">
        <f t="shared" ref="AO9" si="16">+Q9*($Z9+$AA9)</f>
        <v>0</v>
      </c>
      <c r="AP9" s="241">
        <f t="shared" ref="AP9" si="17">+R9*($Z9+$AA9)</f>
        <v>0</v>
      </c>
      <c r="AQ9" s="241">
        <f t="shared" ref="AQ9" si="18">+S9*($Z9+$AA9)</f>
        <v>0</v>
      </c>
      <c r="AR9" s="241">
        <f t="shared" ref="AR9" si="19">+T9*($Z9+$AA9)</f>
        <v>0</v>
      </c>
      <c r="AS9" s="241">
        <f t="shared" ref="AS9" si="20">+U9*($Z9+$AA9)</f>
        <v>0</v>
      </c>
      <c r="AT9" s="241">
        <f t="shared" ref="AT9" si="21">+V9*($Z9+$AA9)</f>
        <v>0</v>
      </c>
      <c r="AU9" s="241">
        <f t="shared" ref="AU9" si="22">+W9*($Z9+$AA9)</f>
        <v>0</v>
      </c>
      <c r="AV9" s="246">
        <f t="shared" ref="AV9" si="23">SUM(AC9:AU9)</f>
        <v>0</v>
      </c>
    </row>
    <row r="10" spans="1:48" x14ac:dyDescent="0.25">
      <c r="A10" s="247"/>
      <c r="B10" s="226"/>
      <c r="C10" s="226"/>
      <c r="D10" s="226"/>
      <c r="E10" s="46"/>
      <c r="F10" s="46"/>
      <c r="G10" s="46"/>
      <c r="H10" s="46"/>
      <c r="I10" s="46"/>
      <c r="J10" s="46"/>
      <c r="K10" s="46"/>
      <c r="L10" s="46"/>
      <c r="M10" s="46"/>
      <c r="N10" s="46"/>
      <c r="O10" s="46"/>
      <c r="P10" s="46"/>
      <c r="Q10" s="46"/>
      <c r="R10" s="46"/>
      <c r="S10" s="46"/>
      <c r="T10" s="46"/>
      <c r="U10" s="46"/>
      <c r="V10" s="46"/>
      <c r="W10" s="46"/>
      <c r="X10" s="246"/>
      <c r="Y10" s="17"/>
      <c r="Z10" s="18"/>
      <c r="AA10" s="18"/>
      <c r="AB10" s="19"/>
      <c r="AC10" s="257"/>
      <c r="AD10" s="241"/>
      <c r="AE10" s="241"/>
      <c r="AF10" s="241"/>
      <c r="AG10" s="241"/>
      <c r="AH10" s="241"/>
      <c r="AI10" s="241"/>
      <c r="AJ10" s="241"/>
      <c r="AK10" s="241"/>
      <c r="AL10" s="241"/>
      <c r="AM10" s="241"/>
      <c r="AN10" s="241"/>
      <c r="AO10" s="241"/>
      <c r="AP10" s="241"/>
      <c r="AQ10" s="241"/>
      <c r="AR10" s="241"/>
      <c r="AS10" s="241"/>
      <c r="AT10" s="241"/>
      <c r="AU10" s="241"/>
      <c r="AV10" s="246"/>
    </row>
    <row r="11" spans="1:48" x14ac:dyDescent="0.25">
      <c r="A11" s="245" t="s">
        <v>127</v>
      </c>
      <c r="B11" s="226" t="s">
        <v>73</v>
      </c>
      <c r="C11" s="226" t="s">
        <v>128</v>
      </c>
      <c r="D11" s="226" t="s">
        <v>125</v>
      </c>
      <c r="E11" s="46">
        <v>0</v>
      </c>
      <c r="F11" s="46">
        <v>169.58631385037833</v>
      </c>
      <c r="G11" s="46">
        <v>212.52903618248237</v>
      </c>
      <c r="H11" s="46">
        <v>146.62423819134315</v>
      </c>
      <c r="I11" s="46">
        <v>11.835751732470511</v>
      </c>
      <c r="J11" s="46">
        <v>43.889336312122971</v>
      </c>
      <c r="K11" s="46">
        <v>34.531807866866231</v>
      </c>
      <c r="L11" s="46">
        <v>1308.32</v>
      </c>
      <c r="M11" s="46">
        <v>5460</v>
      </c>
      <c r="N11" s="46">
        <v>5624.3200000000006</v>
      </c>
      <c r="O11" s="46">
        <v>5903.04</v>
      </c>
      <c r="P11" s="46">
        <v>0</v>
      </c>
      <c r="Q11" s="46">
        <v>0</v>
      </c>
      <c r="R11" s="46">
        <v>0</v>
      </c>
      <c r="S11" s="46">
        <v>0</v>
      </c>
      <c r="T11" s="46">
        <v>0</v>
      </c>
      <c r="U11" s="46">
        <v>0</v>
      </c>
      <c r="V11" s="46">
        <v>0</v>
      </c>
      <c r="W11" s="46">
        <v>0</v>
      </c>
      <c r="X11" s="246">
        <f t="shared" si="0"/>
        <v>18914.676484135663</v>
      </c>
      <c r="Y11" s="17">
        <v>1</v>
      </c>
      <c r="Z11" s="18">
        <v>0.44800000000000001</v>
      </c>
      <c r="AA11" s="18">
        <v>0.35399999999999998</v>
      </c>
      <c r="AB11" s="19">
        <v>0.19800000000000001</v>
      </c>
      <c r="AC11" s="257">
        <f t="shared" ref="AC11:AL12" si="24">+E11*($Z11+$AA11)</f>
        <v>0</v>
      </c>
      <c r="AD11" s="241">
        <f t="shared" si="24"/>
        <v>136.00822370800344</v>
      </c>
      <c r="AE11" s="241">
        <f t="shared" si="24"/>
        <v>170.44828701835087</v>
      </c>
      <c r="AF11" s="241">
        <f t="shared" si="24"/>
        <v>117.59263902945722</v>
      </c>
      <c r="AG11" s="241">
        <f t="shared" si="24"/>
        <v>9.4922728894413506</v>
      </c>
      <c r="AH11" s="241">
        <f t="shared" si="24"/>
        <v>35.199247722322625</v>
      </c>
      <c r="AI11" s="241">
        <f t="shared" si="24"/>
        <v>27.694509909226717</v>
      </c>
      <c r="AJ11" s="241">
        <f>+L11*($Z11+$AA11)</f>
        <v>1049.2726399999999</v>
      </c>
      <c r="AK11" s="241">
        <f t="shared" si="24"/>
        <v>4378.92</v>
      </c>
      <c r="AL11" s="241">
        <f t="shared" si="24"/>
        <v>4510.7046400000008</v>
      </c>
      <c r="AM11" s="241">
        <f t="shared" ref="AM11:AU12" si="25">+O11*($Z11+$AA11)</f>
        <v>4734.2380800000001</v>
      </c>
      <c r="AN11" s="241">
        <f t="shared" si="25"/>
        <v>0</v>
      </c>
      <c r="AO11" s="241">
        <f t="shared" si="25"/>
        <v>0</v>
      </c>
      <c r="AP11" s="241">
        <f t="shared" si="25"/>
        <v>0</v>
      </c>
      <c r="AQ11" s="241">
        <f t="shared" si="25"/>
        <v>0</v>
      </c>
      <c r="AR11" s="241">
        <f t="shared" si="25"/>
        <v>0</v>
      </c>
      <c r="AS11" s="241">
        <f t="shared" si="25"/>
        <v>0</v>
      </c>
      <c r="AT11" s="241">
        <f t="shared" si="25"/>
        <v>0</v>
      </c>
      <c r="AU11" s="241">
        <f t="shared" si="25"/>
        <v>0</v>
      </c>
      <c r="AV11" s="246">
        <f t="shared" si="2"/>
        <v>15169.570540276804</v>
      </c>
    </row>
    <row r="12" spans="1:48" x14ac:dyDescent="0.25">
      <c r="A12" s="245" t="s">
        <v>129</v>
      </c>
      <c r="B12" s="226" t="s">
        <v>73</v>
      </c>
      <c r="C12" s="226" t="s">
        <v>130</v>
      </c>
      <c r="D12" s="226" t="s">
        <v>125</v>
      </c>
      <c r="E12" s="46">
        <v>1573.0206949728799</v>
      </c>
      <c r="F12" s="46">
        <v>464.07735587558437</v>
      </c>
      <c r="G12" s="46">
        <v>0</v>
      </c>
      <c r="H12" s="46">
        <v>0</v>
      </c>
      <c r="I12" s="46">
        <v>0</v>
      </c>
      <c r="J12" s="46">
        <v>0</v>
      </c>
      <c r="K12" s="46">
        <v>0</v>
      </c>
      <c r="L12" s="46">
        <v>0</v>
      </c>
      <c r="M12" s="46">
        <v>0</v>
      </c>
      <c r="N12" s="46">
        <v>0</v>
      </c>
      <c r="O12" s="46">
        <v>0</v>
      </c>
      <c r="P12" s="46">
        <v>0</v>
      </c>
      <c r="Q12" s="46">
        <v>0</v>
      </c>
      <c r="R12" s="46">
        <v>0</v>
      </c>
      <c r="S12" s="46">
        <v>0</v>
      </c>
      <c r="T12" s="46">
        <v>0</v>
      </c>
      <c r="U12" s="46">
        <v>0</v>
      </c>
      <c r="V12" s="46">
        <v>0</v>
      </c>
      <c r="W12" s="46">
        <v>0</v>
      </c>
      <c r="X12" s="246">
        <f>SUM(E12:W12)</f>
        <v>2037.0980508484643</v>
      </c>
      <c r="Y12" s="17">
        <v>0.2</v>
      </c>
      <c r="Z12" s="18">
        <v>0.11320000000000002</v>
      </c>
      <c r="AA12" s="18">
        <v>4.7E-2</v>
      </c>
      <c r="AB12" s="19">
        <v>4.0000000000000008E-2</v>
      </c>
      <c r="AC12" s="257">
        <f>+E12*($Z12+$AA12)</f>
        <v>251.99791533465537</v>
      </c>
      <c r="AD12" s="241">
        <f t="shared" si="24"/>
        <v>74.345192411268627</v>
      </c>
      <c r="AE12" s="241">
        <f t="shared" si="24"/>
        <v>0</v>
      </c>
      <c r="AF12" s="241">
        <f t="shared" si="24"/>
        <v>0</v>
      </c>
      <c r="AG12" s="241">
        <f t="shared" si="24"/>
        <v>0</v>
      </c>
      <c r="AH12" s="241">
        <f t="shared" si="24"/>
        <v>0</v>
      </c>
      <c r="AI12" s="241">
        <f t="shared" si="24"/>
        <v>0</v>
      </c>
      <c r="AJ12" s="241">
        <f t="shared" si="24"/>
        <v>0</v>
      </c>
      <c r="AK12" s="241">
        <f t="shared" si="24"/>
        <v>0</v>
      </c>
      <c r="AL12" s="241">
        <f t="shared" si="24"/>
        <v>0</v>
      </c>
      <c r="AM12" s="241">
        <f t="shared" si="25"/>
        <v>0</v>
      </c>
      <c r="AN12" s="241">
        <f t="shared" si="25"/>
        <v>0</v>
      </c>
      <c r="AO12" s="241">
        <f t="shared" si="25"/>
        <v>0</v>
      </c>
      <c r="AP12" s="241">
        <f t="shared" si="25"/>
        <v>0</v>
      </c>
      <c r="AQ12" s="241">
        <f t="shared" si="25"/>
        <v>0</v>
      </c>
      <c r="AR12" s="241">
        <f t="shared" si="25"/>
        <v>0</v>
      </c>
      <c r="AS12" s="241">
        <f t="shared" si="25"/>
        <v>0</v>
      </c>
      <c r="AT12" s="241">
        <f t="shared" si="25"/>
        <v>0</v>
      </c>
      <c r="AU12" s="241">
        <f t="shared" si="25"/>
        <v>0</v>
      </c>
      <c r="AV12" s="246">
        <f t="shared" ref="AV12:AV15" si="26">SUM(AC12:AU12)</f>
        <v>326.34310774592399</v>
      </c>
    </row>
    <row r="13" spans="1:48" x14ac:dyDescent="0.25">
      <c r="A13" s="245" t="s">
        <v>131</v>
      </c>
      <c r="B13" s="226" t="s">
        <v>73</v>
      </c>
      <c r="C13" s="226" t="s">
        <v>124</v>
      </c>
      <c r="D13" s="226" t="s">
        <v>125</v>
      </c>
      <c r="E13" s="46">
        <v>0</v>
      </c>
      <c r="F13" s="46">
        <v>0</v>
      </c>
      <c r="G13" s="46">
        <v>0</v>
      </c>
      <c r="H13" s="46">
        <v>0</v>
      </c>
      <c r="I13" s="46">
        <v>0</v>
      </c>
      <c r="J13" s="46">
        <v>0</v>
      </c>
      <c r="K13" s="46">
        <v>0</v>
      </c>
      <c r="L13" s="46">
        <v>0</v>
      </c>
      <c r="M13" s="46">
        <v>0</v>
      </c>
      <c r="N13" s="46">
        <v>0</v>
      </c>
      <c r="O13" s="46">
        <v>0</v>
      </c>
      <c r="P13" s="46">
        <v>0</v>
      </c>
      <c r="Q13" s="46">
        <v>0</v>
      </c>
      <c r="R13" s="46">
        <v>0</v>
      </c>
      <c r="S13" s="46">
        <v>0</v>
      </c>
      <c r="T13" s="46">
        <v>0</v>
      </c>
      <c r="U13" s="46">
        <v>0</v>
      </c>
      <c r="V13" s="46">
        <v>0</v>
      </c>
      <c r="W13" s="46">
        <v>0</v>
      </c>
      <c r="X13" s="246">
        <f t="shared" ref="X13:X15" si="27">SUM(E13:W13)</f>
        <v>0</v>
      </c>
      <c r="Y13" s="17">
        <v>1</v>
      </c>
      <c r="Z13" s="18">
        <v>0.44800000000000001</v>
      </c>
      <c r="AA13" s="18">
        <v>0.35399999999999998</v>
      </c>
      <c r="AB13" s="19">
        <v>0.19800000000000001</v>
      </c>
      <c r="AC13" s="257">
        <f t="shared" ref="AC13:AC15" si="28">+E13*($Z13+$AA13)</f>
        <v>0</v>
      </c>
      <c r="AD13" s="241">
        <f t="shared" ref="AD13:AD15" si="29">+F13*($Z13+$AA13)</f>
        <v>0</v>
      </c>
      <c r="AE13" s="241">
        <f t="shared" ref="AE13:AE15" si="30">+G13*($Z13+$AA13)</f>
        <v>0</v>
      </c>
      <c r="AF13" s="241">
        <f t="shared" ref="AF13:AF15" si="31">+H13*($Z13+$AA13)</f>
        <v>0</v>
      </c>
      <c r="AG13" s="241">
        <f t="shared" ref="AG13:AG15" si="32">+I13*($Z13+$AA13)</f>
        <v>0</v>
      </c>
      <c r="AH13" s="241">
        <f t="shared" ref="AH13:AH15" si="33">+J13*($Z13+$AA13)</f>
        <v>0</v>
      </c>
      <c r="AI13" s="241">
        <f t="shared" ref="AI13:AI15" si="34">+K13*($Z13+$AA13)</f>
        <v>0</v>
      </c>
      <c r="AJ13" s="241">
        <f t="shared" ref="AJ13:AJ15" si="35">+L13*($Z13+$AA13)</f>
        <v>0</v>
      </c>
      <c r="AK13" s="241">
        <f t="shared" ref="AK13:AK15" si="36">+M13*($Z13+$AA13)</f>
        <v>0</v>
      </c>
      <c r="AL13" s="241">
        <f t="shared" ref="AL13:AL15" si="37">+N13*($Z13+$AA13)</f>
        <v>0</v>
      </c>
      <c r="AM13" s="241">
        <f t="shared" ref="AM13:AM15" si="38">+O13*($Z13+$AA13)</f>
        <v>0</v>
      </c>
      <c r="AN13" s="241">
        <f t="shared" ref="AN13:AN15" si="39">+P13*($Z13+$AA13)</f>
        <v>0</v>
      </c>
      <c r="AO13" s="241">
        <f t="shared" ref="AO13:AO15" si="40">+Q13*($Z13+$AA13)</f>
        <v>0</v>
      </c>
      <c r="AP13" s="241">
        <f t="shared" ref="AP13:AP15" si="41">+R13*($Z13+$AA13)</f>
        <v>0</v>
      </c>
      <c r="AQ13" s="241">
        <f t="shared" ref="AQ13:AQ15" si="42">+S13*($Z13+$AA13)</f>
        <v>0</v>
      </c>
      <c r="AR13" s="241">
        <f t="shared" ref="AR13:AR15" si="43">+T13*($Z13+$AA13)</f>
        <v>0</v>
      </c>
      <c r="AS13" s="241">
        <f t="shared" ref="AS13:AS15" si="44">+U13*($Z13+$AA13)</f>
        <v>0</v>
      </c>
      <c r="AT13" s="241">
        <f t="shared" ref="AT13:AT15" si="45">+V13*($Z13+$AA13)</f>
        <v>0</v>
      </c>
      <c r="AU13" s="241">
        <f t="shared" ref="AU13:AU15" si="46">+W13*($Z13+$AA13)</f>
        <v>0</v>
      </c>
      <c r="AV13" s="246">
        <f t="shared" si="26"/>
        <v>0</v>
      </c>
    </row>
    <row r="14" spans="1:48" x14ac:dyDescent="0.25">
      <c r="A14" s="245" t="s">
        <v>132</v>
      </c>
      <c r="B14" s="226" t="s">
        <v>73</v>
      </c>
      <c r="C14" s="226" t="s">
        <v>133</v>
      </c>
      <c r="D14" s="226" t="s">
        <v>125</v>
      </c>
      <c r="E14" s="46"/>
      <c r="F14" s="46"/>
      <c r="G14" s="46"/>
      <c r="H14" s="46"/>
      <c r="I14" s="46"/>
      <c r="J14" s="46">
        <v>206.94615929668521</v>
      </c>
      <c r="K14" s="46">
        <v>1938.2724586779661</v>
      </c>
      <c r="L14" s="46">
        <v>1137.1990968</v>
      </c>
      <c r="M14" s="46"/>
      <c r="N14" s="46"/>
      <c r="O14" s="46"/>
      <c r="P14" s="46"/>
      <c r="Q14" s="46"/>
      <c r="R14" s="46"/>
      <c r="S14" s="46"/>
      <c r="T14" s="46"/>
      <c r="U14" s="46"/>
      <c r="V14" s="46"/>
      <c r="W14" s="46"/>
      <c r="X14" s="246">
        <f t="shared" si="27"/>
        <v>3282.4177147746514</v>
      </c>
      <c r="Y14" s="17">
        <v>0.37</v>
      </c>
      <c r="Z14" s="18">
        <v>0.10470999999999998</v>
      </c>
      <c r="AA14" s="18">
        <v>0.15022000000000002</v>
      </c>
      <c r="AB14" s="19">
        <v>0.11506999999999999</v>
      </c>
      <c r="AC14" s="257">
        <f t="shared" ref="AC14" si="47">+E14*($Z14+$AA14)</f>
        <v>0</v>
      </c>
      <c r="AD14" s="241">
        <f t="shared" ref="AD14" si="48">+F14*($Z14+$AA14)</f>
        <v>0</v>
      </c>
      <c r="AE14" s="241">
        <f t="shared" ref="AE14" si="49">+G14*($Z14+$AA14)</f>
        <v>0</v>
      </c>
      <c r="AF14" s="241">
        <f t="shared" ref="AF14" si="50">+H14*($Z14+$AA14)</f>
        <v>0</v>
      </c>
      <c r="AG14" s="241">
        <f t="shared" ref="AG14" si="51">+I14*($Z14+$AA14)</f>
        <v>0</v>
      </c>
      <c r="AH14" s="241">
        <f t="shared" ref="AH14" si="52">+J14*($Z14+$AA14)</f>
        <v>52.756784389503956</v>
      </c>
      <c r="AI14" s="241">
        <f>+K14*($Z14+$AA14)</f>
        <v>494.12379789077391</v>
      </c>
      <c r="AJ14" s="241">
        <f t="shared" ref="AJ14" si="53">+L14*($Z14+$AA14)</f>
        <v>289.90616574722401</v>
      </c>
      <c r="AK14" s="241">
        <f t="shared" ref="AK14" si="54">+M14*($Z14+$AA14)</f>
        <v>0</v>
      </c>
      <c r="AL14" s="241">
        <f t="shared" ref="AL14" si="55">+N14*($Z14+$AA14)</f>
        <v>0</v>
      </c>
      <c r="AM14" s="241">
        <f t="shared" ref="AM14" si="56">+O14*($Z14+$AA14)</f>
        <v>0</v>
      </c>
      <c r="AN14" s="241">
        <f t="shared" ref="AN14" si="57">+P14*($Z14+$AA14)</f>
        <v>0</v>
      </c>
      <c r="AO14" s="241">
        <f t="shared" ref="AO14" si="58">+Q14*($Z14+$AA14)</f>
        <v>0</v>
      </c>
      <c r="AP14" s="241">
        <f t="shared" ref="AP14" si="59">+R14*($Z14+$AA14)</f>
        <v>0</v>
      </c>
      <c r="AQ14" s="241">
        <f t="shared" ref="AQ14" si="60">+S14*($Z14+$AA14)</f>
        <v>0</v>
      </c>
      <c r="AR14" s="241">
        <f t="shared" ref="AR14" si="61">+T14*($Z14+$AA14)</f>
        <v>0</v>
      </c>
      <c r="AS14" s="241">
        <f t="shared" ref="AS14" si="62">+U14*($Z14+$AA14)</f>
        <v>0</v>
      </c>
      <c r="AT14" s="241">
        <f t="shared" ref="AT14" si="63">+V14*($Z14+$AA14)</f>
        <v>0</v>
      </c>
      <c r="AU14" s="241">
        <f t="shared" ref="AU14" si="64">+W14*($Z14+$AA14)</f>
        <v>0</v>
      </c>
      <c r="AV14" s="246">
        <f t="shared" ref="AV14" si="65">SUM(AC14:AU14)</f>
        <v>836.78674802750186</v>
      </c>
    </row>
    <row r="15" spans="1:48" x14ac:dyDescent="0.25">
      <c r="A15" s="245" t="s">
        <v>134</v>
      </c>
      <c r="B15" s="226" t="s">
        <v>73</v>
      </c>
      <c r="C15" s="226" t="s">
        <v>135</v>
      </c>
      <c r="D15" s="226" t="s">
        <v>136</v>
      </c>
      <c r="E15" s="46">
        <v>0</v>
      </c>
      <c r="F15" s="46">
        <v>0</v>
      </c>
      <c r="G15" s="46">
        <v>0</v>
      </c>
      <c r="H15" s="46">
        <v>0</v>
      </c>
      <c r="I15" s="46">
        <v>0</v>
      </c>
      <c r="J15" s="46">
        <v>0</v>
      </c>
      <c r="K15" s="46">
        <v>0</v>
      </c>
      <c r="L15" s="46">
        <v>0</v>
      </c>
      <c r="M15" s="46">
        <v>0</v>
      </c>
      <c r="N15" s="46">
        <v>10400</v>
      </c>
      <c r="O15" s="46">
        <v>10400</v>
      </c>
      <c r="P15" s="46">
        <v>10400</v>
      </c>
      <c r="Q15" s="46">
        <v>10400</v>
      </c>
      <c r="R15" s="46">
        <v>10400</v>
      </c>
      <c r="S15" s="46">
        <v>93600</v>
      </c>
      <c r="T15" s="46">
        <v>93600</v>
      </c>
      <c r="U15" s="46">
        <v>93600</v>
      </c>
      <c r="V15" s="46">
        <v>93600</v>
      </c>
      <c r="W15" s="46">
        <v>93600</v>
      </c>
      <c r="X15" s="246">
        <f t="shared" si="27"/>
        <v>520000</v>
      </c>
      <c r="Y15" s="17">
        <v>1</v>
      </c>
      <c r="Z15" s="18">
        <v>0.59</v>
      </c>
      <c r="AA15" s="18">
        <v>0.30099999999999999</v>
      </c>
      <c r="AB15" s="19">
        <v>0.109</v>
      </c>
      <c r="AC15" s="257">
        <f t="shared" si="28"/>
        <v>0</v>
      </c>
      <c r="AD15" s="241">
        <f t="shared" si="29"/>
        <v>0</v>
      </c>
      <c r="AE15" s="241">
        <f t="shared" si="30"/>
        <v>0</v>
      </c>
      <c r="AF15" s="241">
        <f t="shared" si="31"/>
        <v>0</v>
      </c>
      <c r="AG15" s="241">
        <f t="shared" si="32"/>
        <v>0</v>
      </c>
      <c r="AH15" s="241">
        <f t="shared" si="33"/>
        <v>0</v>
      </c>
      <c r="AI15" s="241">
        <f t="shared" si="34"/>
        <v>0</v>
      </c>
      <c r="AJ15" s="241">
        <f t="shared" si="35"/>
        <v>0</v>
      </c>
      <c r="AK15" s="241">
        <f t="shared" si="36"/>
        <v>0</v>
      </c>
      <c r="AL15" s="241">
        <f t="shared" si="37"/>
        <v>9266.4</v>
      </c>
      <c r="AM15" s="241">
        <f t="shared" si="38"/>
        <v>9266.4</v>
      </c>
      <c r="AN15" s="241">
        <f t="shared" si="39"/>
        <v>9266.4</v>
      </c>
      <c r="AO15" s="241">
        <f t="shared" si="40"/>
        <v>9266.4</v>
      </c>
      <c r="AP15" s="241">
        <f t="shared" si="41"/>
        <v>9266.4</v>
      </c>
      <c r="AQ15" s="241">
        <f t="shared" si="42"/>
        <v>83397.600000000006</v>
      </c>
      <c r="AR15" s="241">
        <f t="shared" si="43"/>
        <v>83397.600000000006</v>
      </c>
      <c r="AS15" s="241">
        <f t="shared" si="44"/>
        <v>83397.600000000006</v>
      </c>
      <c r="AT15" s="241">
        <f t="shared" si="45"/>
        <v>83397.600000000006</v>
      </c>
      <c r="AU15" s="241">
        <f t="shared" si="46"/>
        <v>83397.600000000006</v>
      </c>
      <c r="AV15" s="246">
        <f t="shared" si="26"/>
        <v>463320</v>
      </c>
    </row>
    <row r="16" spans="1:48" x14ac:dyDescent="0.25">
      <c r="A16" s="259" t="s">
        <v>89</v>
      </c>
      <c r="B16" s="218"/>
      <c r="C16" s="218"/>
      <c r="D16" s="218"/>
      <c r="E16" s="242">
        <f t="shared" ref="E16:X16" si="66">SUM(E8:E15)</f>
        <v>1573.0206949728799</v>
      </c>
      <c r="F16" s="242">
        <f t="shared" si="66"/>
        <v>633.66366972596268</v>
      </c>
      <c r="G16" s="242">
        <f t="shared" si="66"/>
        <v>212.52903618248237</v>
      </c>
      <c r="H16" s="242">
        <f t="shared" si="66"/>
        <v>146.62423819134315</v>
      </c>
      <c r="I16" s="242">
        <f t="shared" si="66"/>
        <v>11.835751732470511</v>
      </c>
      <c r="J16" s="242">
        <f t="shared" si="66"/>
        <v>250.83549560880817</v>
      </c>
      <c r="K16" s="242">
        <f t="shared" si="66"/>
        <v>1972.8042665448324</v>
      </c>
      <c r="L16" s="242">
        <f t="shared" si="66"/>
        <v>2445.5190967999997</v>
      </c>
      <c r="M16" s="242">
        <f t="shared" si="66"/>
        <v>5460</v>
      </c>
      <c r="N16" s="242">
        <f t="shared" si="66"/>
        <v>16024.32</v>
      </c>
      <c r="O16" s="242">
        <f t="shared" si="66"/>
        <v>16303.04</v>
      </c>
      <c r="P16" s="242">
        <f t="shared" si="66"/>
        <v>10400</v>
      </c>
      <c r="Q16" s="242">
        <f t="shared" si="66"/>
        <v>10400</v>
      </c>
      <c r="R16" s="242">
        <f t="shared" si="66"/>
        <v>10400</v>
      </c>
      <c r="S16" s="242">
        <f t="shared" si="66"/>
        <v>93600</v>
      </c>
      <c r="T16" s="242">
        <f t="shared" si="66"/>
        <v>93600</v>
      </c>
      <c r="U16" s="242">
        <f t="shared" si="66"/>
        <v>93600</v>
      </c>
      <c r="V16" s="242">
        <f t="shared" si="66"/>
        <v>93600</v>
      </c>
      <c r="W16" s="242">
        <f t="shared" si="66"/>
        <v>93600</v>
      </c>
      <c r="X16" s="248">
        <f t="shared" si="66"/>
        <v>544234.19224975875</v>
      </c>
      <c r="Y16" s="249"/>
      <c r="Z16" s="221"/>
      <c r="AA16" s="221"/>
      <c r="AB16" s="250"/>
      <c r="AC16" s="258">
        <f t="shared" ref="AC16:AV16" si="67">SUM(AC8:AC15)</f>
        <v>251.99791533465537</v>
      </c>
      <c r="AD16" s="242">
        <f t="shared" si="67"/>
        <v>210.35341611927208</v>
      </c>
      <c r="AE16" s="242">
        <f t="shared" si="67"/>
        <v>170.44828701835087</v>
      </c>
      <c r="AF16" s="242">
        <f t="shared" si="67"/>
        <v>117.59263902945722</v>
      </c>
      <c r="AG16" s="242">
        <f t="shared" si="67"/>
        <v>9.4922728894413506</v>
      </c>
      <c r="AH16" s="242">
        <f t="shared" si="67"/>
        <v>87.956032111826573</v>
      </c>
      <c r="AI16" s="242">
        <f t="shared" si="67"/>
        <v>521.81830780000064</v>
      </c>
      <c r="AJ16" s="242">
        <f t="shared" si="67"/>
        <v>1339.178805747224</v>
      </c>
      <c r="AK16" s="242">
        <f t="shared" si="67"/>
        <v>4378.92</v>
      </c>
      <c r="AL16" s="242">
        <f t="shared" si="67"/>
        <v>13777.104640000001</v>
      </c>
      <c r="AM16" s="242">
        <f t="shared" si="67"/>
        <v>14000.638080000001</v>
      </c>
      <c r="AN16" s="242">
        <f t="shared" si="67"/>
        <v>9266.4</v>
      </c>
      <c r="AO16" s="242">
        <f t="shared" si="67"/>
        <v>9266.4</v>
      </c>
      <c r="AP16" s="242">
        <f t="shared" si="67"/>
        <v>9266.4</v>
      </c>
      <c r="AQ16" s="242">
        <f t="shared" si="67"/>
        <v>83397.600000000006</v>
      </c>
      <c r="AR16" s="242">
        <f t="shared" si="67"/>
        <v>83397.600000000006</v>
      </c>
      <c r="AS16" s="242">
        <f t="shared" si="67"/>
        <v>83397.600000000006</v>
      </c>
      <c r="AT16" s="242">
        <f t="shared" si="67"/>
        <v>83397.600000000006</v>
      </c>
      <c r="AU16" s="242">
        <f t="shared" si="67"/>
        <v>83397.600000000006</v>
      </c>
      <c r="AV16" s="248">
        <f t="shared" si="67"/>
        <v>479652.70039605023</v>
      </c>
    </row>
    <row r="17" spans="1:80" x14ac:dyDescent="0.25">
      <c r="A17" s="21"/>
      <c r="B17" s="21"/>
      <c r="C17" s="21"/>
      <c r="D17" s="21"/>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52"/>
    </row>
    <row r="18" spans="1:80" s="14" customFormat="1" x14ac:dyDescent="0.25">
      <c r="A18" s="270"/>
      <c r="B18" s="270"/>
      <c r="C18" s="270"/>
      <c r="D18" s="270"/>
      <c r="E18" s="270"/>
      <c r="F18" s="270"/>
      <c r="G18" s="270"/>
      <c r="H18" s="270"/>
      <c r="I18" s="270"/>
      <c r="J18" s="270"/>
      <c r="K18" s="270"/>
      <c r="L18" s="270"/>
      <c r="M18" s="270"/>
      <c r="N18" s="270"/>
      <c r="O18" s="270"/>
      <c r="P18" s="270"/>
      <c r="Q18" s="270"/>
      <c r="R18" s="270"/>
      <c r="S18" s="270"/>
      <c r="T18" s="270"/>
      <c r="U18" s="270"/>
      <c r="V18" s="270"/>
      <c r="W18" s="270"/>
      <c r="X18" s="270"/>
      <c r="AC18" s="270"/>
      <c r="AD18" s="270"/>
      <c r="AE18" s="270"/>
      <c r="AF18" s="270"/>
      <c r="AG18" s="270"/>
      <c r="AH18" s="270"/>
      <c r="AI18" s="270"/>
      <c r="AJ18" s="270"/>
      <c r="AK18" s="270"/>
      <c r="AL18" s="270"/>
      <c r="AM18" s="270"/>
      <c r="AN18" s="270"/>
      <c r="AO18" s="270"/>
      <c r="AP18" s="270"/>
      <c r="AQ18" s="270"/>
      <c r="AR18" s="270"/>
      <c r="AS18" s="270"/>
      <c r="AT18" s="270"/>
      <c r="AU18" s="270"/>
      <c r="AV18" s="270"/>
    </row>
    <row r="19" spans="1:80" s="14" customFormat="1" x14ac:dyDescent="0.25">
      <c r="C19" s="16"/>
      <c r="D19" s="16"/>
      <c r="E19" s="271"/>
      <c r="F19" s="271"/>
      <c r="G19" s="271"/>
      <c r="H19" s="271"/>
      <c r="I19" s="271"/>
      <c r="J19" s="271"/>
      <c r="K19" s="271"/>
      <c r="L19" s="271"/>
      <c r="M19" s="271"/>
      <c r="N19" s="271"/>
      <c r="O19" s="271"/>
      <c r="P19" s="271"/>
      <c r="Q19" s="271"/>
      <c r="R19" s="271"/>
      <c r="S19" s="271"/>
      <c r="T19" s="271"/>
      <c r="U19" s="271"/>
      <c r="V19" s="271"/>
      <c r="W19" s="271"/>
      <c r="X19" s="271"/>
      <c r="AV19" s="111"/>
    </row>
    <row r="20" spans="1:80" x14ac:dyDescent="0.25">
      <c r="A20" s="16"/>
      <c r="B20" s="16"/>
      <c r="C20" s="16"/>
      <c r="D20" s="16"/>
      <c r="X20" s="46"/>
      <c r="AV20" s="46"/>
    </row>
    <row r="21" spans="1:80" x14ac:dyDescent="0.25">
      <c r="A21" s="16"/>
      <c r="B21" s="16"/>
      <c r="C21" s="16"/>
      <c r="D21" s="16"/>
      <c r="E21" s="25"/>
      <c r="F21" s="25"/>
      <c r="G21" s="25"/>
      <c r="H21" s="25"/>
      <c r="I21" s="25"/>
      <c r="J21" s="25"/>
      <c r="K21" s="25"/>
      <c r="L21" s="25"/>
      <c r="M21" s="25"/>
      <c r="N21" s="25"/>
      <c r="O21" s="25"/>
      <c r="P21" s="25"/>
      <c r="Q21" s="25"/>
      <c r="R21" s="25"/>
      <c r="S21" s="25"/>
      <c r="T21" s="25"/>
      <c r="U21" s="25"/>
      <c r="V21" s="25"/>
      <c r="W21" s="25"/>
      <c r="X21" s="46"/>
      <c r="AC21" s="25"/>
      <c r="AD21" s="25"/>
      <c r="AE21" s="25"/>
      <c r="AF21" s="25"/>
      <c r="AG21" s="25"/>
      <c r="AH21" s="25"/>
      <c r="AI21" s="25"/>
      <c r="AJ21" s="25"/>
      <c r="AK21" s="25"/>
      <c r="AL21" s="25"/>
      <c r="AM21" s="25"/>
      <c r="AN21" s="25"/>
      <c r="AO21" s="25"/>
      <c r="AP21" s="25"/>
      <c r="AQ21" s="25"/>
      <c r="AR21" s="25"/>
      <c r="AS21" s="25"/>
      <c r="AT21" s="25"/>
      <c r="AU21" s="25"/>
      <c r="AV21" s="46"/>
    </row>
    <row r="22" spans="1:80" ht="13" x14ac:dyDescent="0.4">
      <c r="A22" s="16"/>
      <c r="B22" s="16"/>
      <c r="C22" s="16"/>
      <c r="D22" s="16"/>
      <c r="E22" s="25"/>
      <c r="F22" s="25"/>
      <c r="G22" s="25"/>
      <c r="H22" s="25"/>
      <c r="I22" s="25"/>
      <c r="J22" s="25"/>
      <c r="K22" s="25"/>
      <c r="L22" s="25"/>
      <c r="M22" s="25"/>
      <c r="N22" s="25"/>
      <c r="O22" s="25"/>
      <c r="P22" s="25"/>
      <c r="Q22" s="25"/>
      <c r="R22" s="25"/>
      <c r="S22" s="25"/>
      <c r="T22" s="25"/>
      <c r="U22" s="25"/>
      <c r="V22" s="25"/>
      <c r="W22" s="25"/>
      <c r="X22" s="46"/>
      <c r="AC22" s="25"/>
      <c r="AD22" s="25"/>
      <c r="AE22" s="25"/>
      <c r="AF22" s="25"/>
      <c r="AG22" s="25"/>
      <c r="AH22" s="25"/>
      <c r="AI22" s="25"/>
      <c r="AJ22" s="25"/>
      <c r="AK22" s="25"/>
      <c r="AL22" s="25"/>
      <c r="AM22" s="25"/>
      <c r="AN22" s="25"/>
      <c r="AO22" s="25"/>
      <c r="AP22" s="25"/>
      <c r="AQ22" s="25"/>
      <c r="AR22" s="25"/>
      <c r="AS22" s="25"/>
      <c r="AT22" s="25"/>
      <c r="AU22" s="25"/>
      <c r="AV22" s="272"/>
    </row>
    <row r="23" spans="1:80" x14ac:dyDescent="0.25">
      <c r="A23" s="16"/>
      <c r="B23" s="16"/>
      <c r="C23" s="16"/>
      <c r="D23" s="16"/>
      <c r="X23" s="29"/>
      <c r="AV23" s="29"/>
    </row>
    <row r="24" spans="1:80" x14ac:dyDescent="0.25">
      <c r="CB24" s="20"/>
    </row>
    <row r="25" spans="1:80" x14ac:dyDescent="0.25">
      <c r="A25" s="16"/>
      <c r="B25" s="16"/>
      <c r="C25" s="16"/>
      <c r="D25" s="16"/>
      <c r="CB25" s="29"/>
    </row>
  </sheetData>
  <mergeCells count="8">
    <mergeCell ref="E5:X5"/>
    <mergeCell ref="Y5:AB5"/>
    <mergeCell ref="AC5:AV5"/>
    <mergeCell ref="A4:AV4"/>
    <mergeCell ref="C5:C6"/>
    <mergeCell ref="B5:B6"/>
    <mergeCell ref="A5:A6"/>
    <mergeCell ref="D5:D6"/>
  </mergeCells>
  <pageMargins left="0.7" right="0.7" top="0.75" bottom="0.75" header="0.3" footer="0.3"/>
  <pageSetup paperSize="5" scale="25" orientation="landscape"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81B212-2C40-4F71-9477-1CDB76F6690B}">
  <sheetPr>
    <pageSetUpPr fitToPage="1"/>
  </sheetPr>
  <dimension ref="A1:R53"/>
  <sheetViews>
    <sheetView showGridLines="0" zoomScaleNormal="100" workbookViewId="0">
      <selection sqref="A1:XFD1048576"/>
    </sheetView>
  </sheetViews>
  <sheetFormatPr defaultColWidth="9.1796875" defaultRowHeight="12.5" x14ac:dyDescent="0.25"/>
  <cols>
    <col min="1" max="1" width="26.1796875" style="88" customWidth="1"/>
    <col min="2" max="2" width="16" style="88" bestFit="1" customWidth="1"/>
    <col min="3" max="3" width="20.81640625" style="88" bestFit="1" customWidth="1"/>
    <col min="4" max="4" width="17" style="88" customWidth="1"/>
    <col min="5" max="6" width="19.453125" style="87" customWidth="1"/>
    <col min="7" max="8" width="19.453125" style="98" customWidth="1"/>
    <col min="9" max="10" width="19.453125" style="87" customWidth="1"/>
    <col min="11" max="11" width="18" style="87" customWidth="1"/>
    <col min="12" max="12" width="13" style="87" bestFit="1" customWidth="1"/>
    <col min="13" max="13" width="11.453125" style="87" bestFit="1" customWidth="1"/>
    <col min="14" max="14" width="21.54296875" style="87" bestFit="1" customWidth="1"/>
    <col min="15" max="15" width="21.453125" style="87" bestFit="1" customWidth="1"/>
    <col min="16" max="16" width="20" style="87" bestFit="1" customWidth="1"/>
    <col min="17" max="17" width="18.453125" style="87" bestFit="1" customWidth="1"/>
    <col min="18" max="16384" width="9.1796875" style="87"/>
  </cols>
  <sheetData>
    <row r="1" spans="1:12" ht="15.5" x14ac:dyDescent="0.35">
      <c r="A1" s="251" t="s">
        <v>137</v>
      </c>
      <c r="B1" s="96"/>
      <c r="C1" s="97"/>
    </row>
    <row r="2" spans="1:12" ht="46.4" customHeight="1" x14ac:dyDescent="0.25">
      <c r="A2" s="556" t="s">
        <v>20</v>
      </c>
      <c r="B2" s="556"/>
      <c r="C2" s="556"/>
      <c r="D2" s="556"/>
      <c r="E2" s="556"/>
      <c r="F2" s="556"/>
    </row>
    <row r="3" spans="1:12" x14ac:dyDescent="0.25">
      <c r="A3" s="557" t="s">
        <v>138</v>
      </c>
      <c r="B3" s="558"/>
      <c r="C3" s="558"/>
      <c r="D3" s="558"/>
      <c r="E3" s="558"/>
      <c r="F3" s="558"/>
      <c r="G3" s="558"/>
      <c r="H3" s="558"/>
      <c r="I3" s="558"/>
      <c r="J3" s="559"/>
    </row>
    <row r="4" spans="1:12" ht="44.15" customHeight="1" x14ac:dyDescent="0.25">
      <c r="A4" s="548" t="s">
        <v>81</v>
      </c>
      <c r="B4" s="562" t="s">
        <v>139</v>
      </c>
      <c r="C4" s="563"/>
      <c r="D4" s="563"/>
      <c r="E4" s="542" t="s">
        <v>140</v>
      </c>
      <c r="F4" s="544"/>
      <c r="G4" s="320" t="s">
        <v>141</v>
      </c>
      <c r="H4" s="320" t="s">
        <v>142</v>
      </c>
      <c r="I4" s="548" t="s">
        <v>143</v>
      </c>
      <c r="J4" s="548" t="s">
        <v>144</v>
      </c>
    </row>
    <row r="5" spans="1:12" s="99" customFormat="1" ht="66" customHeight="1" x14ac:dyDescent="0.35">
      <c r="A5" s="549"/>
      <c r="B5" s="321" t="s">
        <v>145</v>
      </c>
      <c r="C5" s="321" t="s">
        <v>146</v>
      </c>
      <c r="D5" s="321" t="s">
        <v>147</v>
      </c>
      <c r="E5" s="322" t="s">
        <v>148</v>
      </c>
      <c r="F5" s="322" t="s">
        <v>149</v>
      </c>
      <c r="G5" s="321" t="s">
        <v>150</v>
      </c>
      <c r="H5" s="321" t="s">
        <v>151</v>
      </c>
      <c r="I5" s="549"/>
      <c r="J5" s="549"/>
    </row>
    <row r="6" spans="1:12" s="100" customFormat="1" x14ac:dyDescent="0.25">
      <c r="A6" s="323">
        <v>2005</v>
      </c>
      <c r="B6" s="324">
        <v>956078</v>
      </c>
      <c r="C6" s="325">
        <v>62655.710371819965</v>
      </c>
      <c r="D6" s="326">
        <f>B6+C6</f>
        <v>1018733.71037182</v>
      </c>
      <c r="E6" s="327">
        <f>450+300</f>
        <v>750</v>
      </c>
      <c r="F6" s="328">
        <f>E6/$I$32*1000000</f>
        <v>1153846.1538461538</v>
      </c>
      <c r="G6" s="16"/>
      <c r="H6" s="329"/>
      <c r="I6" s="330"/>
      <c r="J6" s="331"/>
    </row>
    <row r="7" spans="1:12" s="100" customFormat="1" x14ac:dyDescent="0.25">
      <c r="A7" s="332">
        <v>2006</v>
      </c>
      <c r="B7" s="333">
        <v>991759</v>
      </c>
      <c r="C7" s="334">
        <v>66891.710371819965</v>
      </c>
      <c r="D7" s="335">
        <f t="shared" ref="D7:D26" si="0">B7+C7</f>
        <v>1058650.71037182</v>
      </c>
      <c r="E7" s="336">
        <f>E6</f>
        <v>750</v>
      </c>
      <c r="F7" s="337">
        <f>E7/$I$32*1000000</f>
        <v>1153846.1538461538</v>
      </c>
      <c r="G7" s="16"/>
      <c r="H7" s="329"/>
      <c r="I7" s="330"/>
      <c r="J7" s="331"/>
    </row>
    <row r="8" spans="1:12" s="100" customFormat="1" x14ac:dyDescent="0.25">
      <c r="A8" s="338">
        <v>2007</v>
      </c>
      <c r="B8" s="339">
        <v>1019942</v>
      </c>
      <c r="C8" s="335">
        <v>71929.710371819965</v>
      </c>
      <c r="D8" s="335">
        <f t="shared" si="0"/>
        <v>1091871.71037182</v>
      </c>
      <c r="E8" s="336">
        <f>E7</f>
        <v>750</v>
      </c>
      <c r="F8" s="337">
        <f>E8/$I$32*1000000</f>
        <v>1153846.1538461538</v>
      </c>
      <c r="G8" s="16"/>
      <c r="H8" s="329"/>
      <c r="I8" s="330"/>
      <c r="J8" s="331"/>
    </row>
    <row r="9" spans="1:12" s="100" customFormat="1" x14ac:dyDescent="0.25">
      <c r="A9" s="338">
        <v>2008</v>
      </c>
      <c r="B9" s="339">
        <v>1042892</v>
      </c>
      <c r="C9" s="335">
        <v>76114.710371819965</v>
      </c>
      <c r="D9" s="335">
        <f t="shared" si="0"/>
        <v>1119006.71037182</v>
      </c>
      <c r="E9" s="336">
        <v>850</v>
      </c>
      <c r="F9" s="337">
        <f t="shared" ref="F9:F20" si="1">E9/$I$32*1000000</f>
        <v>1307692.3076923077</v>
      </c>
      <c r="G9" s="437">
        <f>(E9-E8)/I32*10^6</f>
        <v>153846.15384615384</v>
      </c>
      <c r="H9" s="340"/>
      <c r="I9" s="341"/>
      <c r="J9" s="331"/>
    </row>
    <row r="10" spans="1:12" s="102" customFormat="1" x14ac:dyDescent="0.25">
      <c r="A10" s="338">
        <v>2009</v>
      </c>
      <c r="B10" s="339">
        <v>1065455</v>
      </c>
      <c r="C10" s="335">
        <v>81791.710371819965</v>
      </c>
      <c r="D10" s="335">
        <f t="shared" si="0"/>
        <v>1147246.71037182</v>
      </c>
      <c r="E10" s="336">
        <f>E9</f>
        <v>850</v>
      </c>
      <c r="F10" s="337">
        <f t="shared" si="1"/>
        <v>1307692.3076923077</v>
      </c>
      <c r="G10" s="342"/>
      <c r="H10" s="340"/>
      <c r="I10" s="343"/>
      <c r="J10" s="344"/>
    </row>
    <row r="11" spans="1:12" s="102" customFormat="1" x14ac:dyDescent="0.25">
      <c r="A11" s="338">
        <v>2010</v>
      </c>
      <c r="B11" s="339">
        <v>1071515</v>
      </c>
      <c r="C11" s="335">
        <v>84383.710371819965</v>
      </c>
      <c r="D11" s="335">
        <f t="shared" si="0"/>
        <v>1155898.71037182</v>
      </c>
      <c r="E11" s="336">
        <f>E10</f>
        <v>850</v>
      </c>
      <c r="F11" s="337">
        <f t="shared" si="1"/>
        <v>1307692.3076923077</v>
      </c>
      <c r="G11" s="342"/>
      <c r="H11" s="340"/>
      <c r="I11" s="343"/>
      <c r="J11" s="344"/>
    </row>
    <row r="12" spans="1:12" s="102" customFormat="1" x14ac:dyDescent="0.25">
      <c r="A12" s="338">
        <v>2011</v>
      </c>
      <c r="B12" s="339">
        <v>1090936</v>
      </c>
      <c r="C12" s="335">
        <v>88251.710371819965</v>
      </c>
      <c r="D12" s="335">
        <f t="shared" si="0"/>
        <v>1179187.71037182</v>
      </c>
      <c r="E12" s="336">
        <v>950</v>
      </c>
      <c r="F12" s="337">
        <f t="shared" si="1"/>
        <v>1461538.4615384615</v>
      </c>
      <c r="G12" s="342"/>
      <c r="H12" s="438">
        <f>(E12-E11)/I32*10^6</f>
        <v>153846.15384615384</v>
      </c>
      <c r="I12" s="343"/>
      <c r="J12" s="344"/>
    </row>
    <row r="13" spans="1:12" s="102" customFormat="1" x14ac:dyDescent="0.25">
      <c r="A13" s="338">
        <v>2012</v>
      </c>
      <c r="B13" s="339">
        <v>1120225</v>
      </c>
      <c r="C13" s="335">
        <v>91680.710371819965</v>
      </c>
      <c r="D13" s="335">
        <f t="shared" si="0"/>
        <v>1211905.71037182</v>
      </c>
      <c r="E13" s="336">
        <f>E12</f>
        <v>950</v>
      </c>
      <c r="F13" s="337">
        <f t="shared" si="1"/>
        <v>1461538.4615384615</v>
      </c>
      <c r="G13" s="342"/>
      <c r="H13" s="340"/>
      <c r="I13" s="343"/>
      <c r="J13" s="344"/>
    </row>
    <row r="14" spans="1:12" s="102" customFormat="1" x14ac:dyDescent="0.25">
      <c r="A14" s="338">
        <v>2013</v>
      </c>
      <c r="B14" s="339">
        <v>1149552</v>
      </c>
      <c r="C14" s="335">
        <v>96472.710371819965</v>
      </c>
      <c r="D14" s="335">
        <f t="shared" si="0"/>
        <v>1246024.71037182</v>
      </c>
      <c r="E14" s="336">
        <f>E12</f>
        <v>950</v>
      </c>
      <c r="F14" s="337">
        <f t="shared" si="1"/>
        <v>1461538.4615384615</v>
      </c>
      <c r="G14" s="342"/>
      <c r="H14" s="340"/>
      <c r="I14" s="343"/>
      <c r="J14" s="344"/>
    </row>
    <row r="15" spans="1:12" s="102" customFormat="1" x14ac:dyDescent="0.25">
      <c r="A15" s="338">
        <v>2014</v>
      </c>
      <c r="B15" s="339">
        <v>1197264</v>
      </c>
      <c r="C15" s="335">
        <v>103765.71037181997</v>
      </c>
      <c r="D15" s="335">
        <f t="shared" si="0"/>
        <v>1301029.71037182</v>
      </c>
      <c r="E15" s="336">
        <f>E12</f>
        <v>950</v>
      </c>
      <c r="F15" s="337">
        <f t="shared" si="1"/>
        <v>1461538.4615384615</v>
      </c>
      <c r="G15" s="342"/>
      <c r="H15" s="340"/>
      <c r="I15" s="345"/>
      <c r="J15" s="344"/>
    </row>
    <row r="16" spans="1:12" s="102" customFormat="1" x14ac:dyDescent="0.25">
      <c r="A16" s="338">
        <v>2015</v>
      </c>
      <c r="B16" s="339">
        <v>1230641</v>
      </c>
      <c r="C16" s="335">
        <v>102996.11545988258</v>
      </c>
      <c r="D16" s="335">
        <f t="shared" si="0"/>
        <v>1333637.1154598827</v>
      </c>
      <c r="E16" s="336">
        <f>E15</f>
        <v>950</v>
      </c>
      <c r="F16" s="337">
        <f t="shared" si="1"/>
        <v>1461538.4615384615</v>
      </c>
      <c r="G16" s="342"/>
      <c r="H16" s="340"/>
      <c r="I16" s="346"/>
      <c r="J16" s="347"/>
      <c r="L16" s="103"/>
    </row>
    <row r="17" spans="1:18" s="102" customFormat="1" x14ac:dyDescent="0.25">
      <c r="A17" s="338">
        <v>2016</v>
      </c>
      <c r="B17" s="339">
        <v>1235167.6000000001</v>
      </c>
      <c r="C17" s="335">
        <v>107869</v>
      </c>
      <c r="D17" s="335">
        <f t="shared" si="0"/>
        <v>1343036.6</v>
      </c>
      <c r="E17" s="336">
        <f>E16</f>
        <v>950</v>
      </c>
      <c r="F17" s="337">
        <f t="shared" si="1"/>
        <v>1461538.4615384615</v>
      </c>
      <c r="G17" s="342"/>
      <c r="H17" s="340"/>
      <c r="I17" s="346"/>
      <c r="J17" s="347"/>
    </row>
    <row r="18" spans="1:18" s="102" customFormat="1" x14ac:dyDescent="0.25">
      <c r="A18" s="338">
        <v>2017</v>
      </c>
      <c r="B18" s="339">
        <v>1246330</v>
      </c>
      <c r="C18" s="335">
        <v>112081.61545988258</v>
      </c>
      <c r="D18" s="335">
        <f t="shared" si="0"/>
        <v>1358411.6154598827</v>
      </c>
      <c r="E18" s="336">
        <f>E17</f>
        <v>950</v>
      </c>
      <c r="F18" s="337">
        <f t="shared" si="1"/>
        <v>1461538.4615384615</v>
      </c>
      <c r="G18" s="342"/>
      <c r="H18" s="340"/>
      <c r="I18" s="346"/>
      <c r="J18" s="347"/>
    </row>
    <row r="19" spans="1:18" s="102" customFormat="1" x14ac:dyDescent="0.25">
      <c r="A19" s="338">
        <v>2018</v>
      </c>
      <c r="B19" s="339">
        <v>1267831.2</v>
      </c>
      <c r="C19" s="335">
        <v>116198.11545988258</v>
      </c>
      <c r="D19" s="335">
        <f t="shared" si="0"/>
        <v>1384029.3154598826</v>
      </c>
      <c r="E19" s="336">
        <f>E18</f>
        <v>950</v>
      </c>
      <c r="F19" s="337">
        <f t="shared" si="1"/>
        <v>1461538.4615384615</v>
      </c>
      <c r="G19" s="342"/>
      <c r="H19" s="340"/>
      <c r="I19" s="346"/>
      <c r="J19" s="347"/>
    </row>
    <row r="20" spans="1:18" s="102" customFormat="1" x14ac:dyDescent="0.25">
      <c r="A20" s="338">
        <v>2019</v>
      </c>
      <c r="B20" s="339">
        <v>1285711</v>
      </c>
      <c r="C20" s="335">
        <v>120029.11545988258</v>
      </c>
      <c r="D20" s="335">
        <f t="shared" si="0"/>
        <v>1405740.1154598827</v>
      </c>
      <c r="E20" s="336">
        <f>E19</f>
        <v>950</v>
      </c>
      <c r="F20" s="337">
        <f t="shared" si="1"/>
        <v>1461538.4615384615</v>
      </c>
      <c r="G20" s="342"/>
      <c r="H20" s="340"/>
      <c r="I20" s="346"/>
      <c r="J20" s="347"/>
    </row>
    <row r="21" spans="1:18" s="102" customFormat="1" x14ac:dyDescent="0.25">
      <c r="A21" s="338">
        <v>2020</v>
      </c>
      <c r="B21" s="339">
        <v>1296247.5</v>
      </c>
      <c r="C21" s="335">
        <v>123716.82974559687</v>
      </c>
      <c r="D21" s="335">
        <f t="shared" si="0"/>
        <v>1419964.329745597</v>
      </c>
      <c r="E21" s="336">
        <f t="shared" ref="E21" si="2">E20</f>
        <v>950</v>
      </c>
      <c r="F21" s="337">
        <f>E21/$I$32*1000000</f>
        <v>1461538.4615384615</v>
      </c>
      <c r="G21" s="342"/>
      <c r="H21" s="340"/>
      <c r="I21" s="346"/>
      <c r="J21" s="347"/>
    </row>
    <row r="22" spans="1:18" s="102" customFormat="1" x14ac:dyDescent="0.25">
      <c r="A22" s="338">
        <v>2021</v>
      </c>
      <c r="B22" s="339">
        <v>1306784</v>
      </c>
      <c r="C22" s="335">
        <v>130674.82974559687</v>
      </c>
      <c r="D22" s="335">
        <f t="shared" si="0"/>
        <v>1437458.829745597</v>
      </c>
      <c r="E22" s="336">
        <v>965</v>
      </c>
      <c r="F22" s="337">
        <f>E22/$I$33*1000000</f>
        <v>1649572.6495726495</v>
      </c>
      <c r="G22" s="342"/>
      <c r="H22" s="340"/>
      <c r="I22" s="534"/>
      <c r="J22" s="348"/>
      <c r="K22" s="103"/>
    </row>
    <row r="23" spans="1:18" s="102" customFormat="1" x14ac:dyDescent="0.25">
      <c r="A23" s="338">
        <v>2023</v>
      </c>
      <c r="B23" s="339">
        <v>1371481.7916993333</v>
      </c>
      <c r="C23" s="335">
        <v>140905.49000533711</v>
      </c>
      <c r="D23" s="335">
        <f t="shared" si="0"/>
        <v>1512387.2817046705</v>
      </c>
      <c r="E23" s="336">
        <f>E22</f>
        <v>965</v>
      </c>
      <c r="F23" s="337">
        <f t="shared" ref="F23:F26" si="3">E23/$I$33*1000000</f>
        <v>1649572.6495726495</v>
      </c>
      <c r="G23" s="342"/>
      <c r="H23" s="340"/>
      <c r="I23" s="534">
        <v>57.58</v>
      </c>
      <c r="J23" s="348">
        <f>E23-I23</f>
        <v>907.42</v>
      </c>
    </row>
    <row r="24" spans="1:18" s="102" customFormat="1" x14ac:dyDescent="0.25">
      <c r="A24" s="338">
        <v>2028</v>
      </c>
      <c r="B24" s="339">
        <v>1480920.0405362002</v>
      </c>
      <c r="C24" s="335">
        <v>170439.24449637119</v>
      </c>
      <c r="D24" s="335">
        <f t="shared" si="0"/>
        <v>1651359.2850325713</v>
      </c>
      <c r="E24" s="336">
        <v>1120</v>
      </c>
      <c r="F24" s="337">
        <f t="shared" si="3"/>
        <v>1914529.9145299145</v>
      </c>
      <c r="G24" s="437">
        <f>(E24-E23)/I33*10^6</f>
        <v>264957.26495726494</v>
      </c>
      <c r="H24" s="340"/>
      <c r="I24" s="534">
        <v>99.7</v>
      </c>
      <c r="J24" s="348">
        <f t="shared" ref="J24:J25" si="4">E24-I24</f>
        <v>1020.3</v>
      </c>
    </row>
    <row r="25" spans="1:18" s="102" customFormat="1" x14ac:dyDescent="0.25">
      <c r="A25" s="338">
        <v>2033</v>
      </c>
      <c r="B25" s="339">
        <v>1567584.7727774007</v>
      </c>
      <c r="C25" s="335">
        <v>193250.21236982197</v>
      </c>
      <c r="D25" s="335">
        <f t="shared" si="0"/>
        <v>1760834.9851472226</v>
      </c>
      <c r="E25" s="336">
        <f t="shared" ref="E25" si="5">E24</f>
        <v>1120</v>
      </c>
      <c r="F25" s="337">
        <f t="shared" si="3"/>
        <v>1914529.9145299145</v>
      </c>
      <c r="G25" s="342"/>
      <c r="H25" s="340"/>
      <c r="I25" s="534">
        <v>119.23</v>
      </c>
      <c r="J25" s="348">
        <f t="shared" si="4"/>
        <v>1000.77</v>
      </c>
    </row>
    <row r="26" spans="1:18" s="102" customFormat="1" x14ac:dyDescent="0.25">
      <c r="A26" s="349">
        <v>2038</v>
      </c>
      <c r="B26" s="350">
        <v>1648465.8365328002</v>
      </c>
      <c r="C26" s="351">
        <v>219506.29007815526</v>
      </c>
      <c r="D26" s="351">
        <f t="shared" si="0"/>
        <v>1867972.1266109555</v>
      </c>
      <c r="E26" s="352">
        <v>1420</v>
      </c>
      <c r="F26" s="353">
        <f t="shared" si="3"/>
        <v>2427350.427350427</v>
      </c>
      <c r="G26" s="439">
        <f>(E26-E25)/I33*10^6</f>
        <v>512820.51282051275</v>
      </c>
      <c r="H26" s="354"/>
      <c r="I26" s="535">
        <v>119.23</v>
      </c>
      <c r="J26" s="355">
        <f>E26-I26</f>
        <v>1300.77</v>
      </c>
      <c r="L26" s="103"/>
    </row>
    <row r="27" spans="1:18" s="102" customFormat="1" ht="13" x14ac:dyDescent="0.25">
      <c r="A27" s="356"/>
      <c r="B27" s="357"/>
      <c r="C27" s="357"/>
      <c r="D27" s="358"/>
      <c r="E27" s="356"/>
      <c r="F27" s="356"/>
      <c r="G27" s="359"/>
      <c r="H27" s="359"/>
      <c r="I27" s="342"/>
      <c r="J27" s="342"/>
      <c r="K27" s="90"/>
      <c r="L27" s="90"/>
      <c r="M27" s="101"/>
      <c r="N27" s="105"/>
      <c r="O27" s="106"/>
      <c r="P27" s="104"/>
      <c r="R27" s="103"/>
    </row>
    <row r="28" spans="1:18" x14ac:dyDescent="0.25">
      <c r="A28" s="360" t="s">
        <v>152</v>
      </c>
      <c r="B28" s="361"/>
      <c r="C28" s="361"/>
      <c r="D28" s="361"/>
      <c r="E28" s="362"/>
      <c r="F28" s="363"/>
      <c r="G28" s="363"/>
      <c r="H28" s="363"/>
      <c r="I28" s="16"/>
      <c r="J28" s="16"/>
      <c r="K28" s="107"/>
      <c r="L28" s="90"/>
      <c r="O28" s="98"/>
    </row>
    <row r="29" spans="1:18" x14ac:dyDescent="0.25">
      <c r="A29" s="364" t="s">
        <v>153</v>
      </c>
      <c r="B29" s="365"/>
      <c r="C29" s="365"/>
      <c r="D29" s="365"/>
      <c r="E29" s="366"/>
      <c r="F29" s="367"/>
      <c r="G29" s="14"/>
      <c r="H29" s="368" t="s">
        <v>154</v>
      </c>
      <c r="I29" s="369"/>
      <c r="J29" s="16"/>
    </row>
    <row r="30" spans="1:18" x14ac:dyDescent="0.25">
      <c r="A30" s="370" t="s">
        <v>81</v>
      </c>
      <c r="B30" s="371" t="s">
        <v>155</v>
      </c>
      <c r="C30" s="371" t="s">
        <v>156</v>
      </c>
      <c r="D30" s="371" t="s">
        <v>65</v>
      </c>
      <c r="E30" s="372" t="s">
        <v>157</v>
      </c>
      <c r="F30" s="111"/>
      <c r="G30" s="373"/>
      <c r="H30" s="560" t="s">
        <v>158</v>
      </c>
      <c r="I30" s="561"/>
      <c r="J30" s="16"/>
    </row>
    <row r="31" spans="1:18" x14ac:dyDescent="0.25">
      <c r="A31" s="374">
        <f>A6</f>
        <v>2005</v>
      </c>
      <c r="B31" s="375">
        <f t="shared" ref="B31:D31" si="6">B6</f>
        <v>956078</v>
      </c>
      <c r="C31" s="375">
        <f t="shared" si="6"/>
        <v>62655.710371819965</v>
      </c>
      <c r="D31" s="375">
        <f t="shared" si="6"/>
        <v>1018733.71037182</v>
      </c>
      <c r="E31" s="376">
        <f>B31/D31</f>
        <v>0.93849647878153386</v>
      </c>
      <c r="F31" s="377"/>
      <c r="G31" s="373"/>
      <c r="H31" s="378" t="s">
        <v>81</v>
      </c>
      <c r="I31" s="379" t="s">
        <v>159</v>
      </c>
      <c r="J31" s="16"/>
    </row>
    <row r="32" spans="1:18" x14ac:dyDescent="0.25">
      <c r="A32" s="374">
        <f t="shared" ref="A32:D32" si="7">A7</f>
        <v>2006</v>
      </c>
      <c r="B32" s="375">
        <f t="shared" si="7"/>
        <v>991759</v>
      </c>
      <c r="C32" s="375">
        <f t="shared" si="7"/>
        <v>66891.710371819965</v>
      </c>
      <c r="D32" s="375">
        <f t="shared" si="7"/>
        <v>1058650.71037182</v>
      </c>
      <c r="E32" s="376">
        <f t="shared" ref="E32:E41" si="8">B32/D32</f>
        <v>0.93681418269834604</v>
      </c>
      <c r="F32" s="134"/>
      <c r="G32" s="373"/>
      <c r="H32" s="323" t="s">
        <v>160</v>
      </c>
      <c r="I32" s="380">
        <v>650</v>
      </c>
      <c r="J32" s="16"/>
    </row>
    <row r="33" spans="1:10" x14ac:dyDescent="0.25">
      <c r="A33" s="374">
        <f t="shared" ref="A33:D33" si="9">A8</f>
        <v>2007</v>
      </c>
      <c r="B33" s="375">
        <f t="shared" si="9"/>
        <v>1019942</v>
      </c>
      <c r="C33" s="375">
        <f t="shared" si="9"/>
        <v>71929.710371819965</v>
      </c>
      <c r="D33" s="375">
        <f t="shared" si="9"/>
        <v>1091871.71037182</v>
      </c>
      <c r="E33" s="376">
        <f t="shared" si="8"/>
        <v>0.93412256248737735</v>
      </c>
      <c r="F33" s="134"/>
      <c r="G33" s="381"/>
      <c r="H33" s="382" t="s">
        <v>161</v>
      </c>
      <c r="I33" s="383">
        <v>585</v>
      </c>
      <c r="J33" s="16"/>
    </row>
    <row r="34" spans="1:10" x14ac:dyDescent="0.25">
      <c r="A34" s="374">
        <f t="shared" ref="A34:D34" si="10">A9</f>
        <v>2008</v>
      </c>
      <c r="B34" s="375">
        <f t="shared" si="10"/>
        <v>1042892</v>
      </c>
      <c r="C34" s="375">
        <f t="shared" si="10"/>
        <v>76114.710371819965</v>
      </c>
      <c r="D34" s="375">
        <f t="shared" si="10"/>
        <v>1119006.71037182</v>
      </c>
      <c r="E34" s="376">
        <f t="shared" si="8"/>
        <v>0.93198011266033531</v>
      </c>
      <c r="F34" s="134"/>
      <c r="G34" s="373"/>
      <c r="H34" s="373"/>
      <c r="I34" s="16"/>
      <c r="J34" s="16"/>
    </row>
    <row r="35" spans="1:10" x14ac:dyDescent="0.25">
      <c r="A35" s="374">
        <f t="shared" ref="A35:D35" si="11">A10</f>
        <v>2009</v>
      </c>
      <c r="B35" s="375">
        <f t="shared" si="11"/>
        <v>1065455</v>
      </c>
      <c r="C35" s="375">
        <f t="shared" si="11"/>
        <v>81791.710371819965</v>
      </c>
      <c r="D35" s="375">
        <f t="shared" si="11"/>
        <v>1147246.71037182</v>
      </c>
      <c r="E35" s="376">
        <f t="shared" si="8"/>
        <v>0.92870608419935108</v>
      </c>
      <c r="F35" s="134"/>
      <c r="G35" s="373"/>
      <c r="H35" s="373"/>
      <c r="I35" s="16"/>
      <c r="J35" s="16"/>
    </row>
    <row r="36" spans="1:10" x14ac:dyDescent="0.25">
      <c r="A36" s="374">
        <f t="shared" ref="A36:D36" si="12">A11</f>
        <v>2010</v>
      </c>
      <c r="B36" s="375">
        <f t="shared" si="12"/>
        <v>1071515</v>
      </c>
      <c r="C36" s="375">
        <f t="shared" si="12"/>
        <v>84383.710371819965</v>
      </c>
      <c r="D36" s="375">
        <f t="shared" si="12"/>
        <v>1155898.71037182</v>
      </c>
      <c r="E36" s="376">
        <f t="shared" si="8"/>
        <v>0.9269973141983382</v>
      </c>
      <c r="F36" s="134"/>
      <c r="G36" s="373"/>
      <c r="H36" s="373"/>
      <c r="I36" s="16"/>
      <c r="J36" s="16"/>
    </row>
    <row r="37" spans="1:10" x14ac:dyDescent="0.25">
      <c r="A37" s="374">
        <f t="shared" ref="A37:D37" si="13">A12</f>
        <v>2011</v>
      </c>
      <c r="B37" s="375">
        <f t="shared" si="13"/>
        <v>1090936</v>
      </c>
      <c r="C37" s="375">
        <f t="shared" si="13"/>
        <v>88251.710371819965</v>
      </c>
      <c r="D37" s="375">
        <f t="shared" si="13"/>
        <v>1179187.71037182</v>
      </c>
      <c r="E37" s="376">
        <f t="shared" si="8"/>
        <v>0.92515889574188948</v>
      </c>
      <c r="F37" s="134"/>
      <c r="G37" s="373"/>
      <c r="H37" s="373"/>
      <c r="I37" s="16"/>
      <c r="J37" s="16"/>
    </row>
    <row r="38" spans="1:10" x14ac:dyDescent="0.25">
      <c r="A38" s="374">
        <f t="shared" ref="A38:D38" si="14">A13</f>
        <v>2012</v>
      </c>
      <c r="B38" s="375">
        <f t="shared" si="14"/>
        <v>1120225</v>
      </c>
      <c r="C38" s="375">
        <f t="shared" si="14"/>
        <v>91680.710371819965</v>
      </c>
      <c r="D38" s="375">
        <f t="shared" si="14"/>
        <v>1211905.71037182</v>
      </c>
      <c r="E38" s="376">
        <f t="shared" si="8"/>
        <v>0.92434996420332749</v>
      </c>
      <c r="F38" s="134"/>
      <c r="G38" s="373"/>
      <c r="H38" s="373"/>
      <c r="I38" s="16"/>
      <c r="J38" s="16"/>
    </row>
    <row r="39" spans="1:10" x14ac:dyDescent="0.25">
      <c r="A39" s="374">
        <f t="shared" ref="A39:D39" si="15">A14</f>
        <v>2013</v>
      </c>
      <c r="B39" s="375">
        <f t="shared" si="15"/>
        <v>1149552</v>
      </c>
      <c r="C39" s="375">
        <f t="shared" si="15"/>
        <v>96472.710371819965</v>
      </c>
      <c r="D39" s="375">
        <f t="shared" si="15"/>
        <v>1246024.71037182</v>
      </c>
      <c r="E39" s="376">
        <f t="shared" si="8"/>
        <v>0.92257560418442097</v>
      </c>
      <c r="F39" s="134"/>
      <c r="G39" s="373"/>
      <c r="H39" s="373"/>
      <c r="I39" s="16"/>
      <c r="J39" s="16"/>
    </row>
    <row r="40" spans="1:10" x14ac:dyDescent="0.25">
      <c r="A40" s="374">
        <f t="shared" ref="A40:D42" si="16">A15</f>
        <v>2014</v>
      </c>
      <c r="B40" s="375">
        <f t="shared" si="16"/>
        <v>1197264</v>
      </c>
      <c r="C40" s="375">
        <f t="shared" si="16"/>
        <v>103765.71037181997</v>
      </c>
      <c r="D40" s="375">
        <f t="shared" si="16"/>
        <v>1301029.71037182</v>
      </c>
      <c r="E40" s="376">
        <f t="shared" si="8"/>
        <v>0.92024339679209566</v>
      </c>
      <c r="F40" s="134"/>
      <c r="G40" s="373"/>
      <c r="H40" s="373"/>
      <c r="I40" s="16"/>
      <c r="J40" s="16"/>
    </row>
    <row r="41" spans="1:10" x14ac:dyDescent="0.25">
      <c r="A41" s="374">
        <f t="shared" si="16"/>
        <v>2015</v>
      </c>
      <c r="B41" s="375">
        <f t="shared" si="16"/>
        <v>1230641</v>
      </c>
      <c r="C41" s="375">
        <f t="shared" si="16"/>
        <v>102996.11545988258</v>
      </c>
      <c r="D41" s="375">
        <f t="shared" si="16"/>
        <v>1333637.1154598827</v>
      </c>
      <c r="E41" s="376">
        <f t="shared" si="8"/>
        <v>0.92277050910931935</v>
      </c>
      <c r="F41" s="134"/>
      <c r="G41" s="373"/>
      <c r="H41" s="384"/>
      <c r="I41" s="16"/>
      <c r="J41" s="16"/>
    </row>
    <row r="42" spans="1:10" x14ac:dyDescent="0.25">
      <c r="A42" s="374">
        <f t="shared" si="16"/>
        <v>2016</v>
      </c>
      <c r="B42" s="375">
        <f t="shared" si="16"/>
        <v>1235167.6000000001</v>
      </c>
      <c r="C42" s="375">
        <f t="shared" si="16"/>
        <v>107869</v>
      </c>
      <c r="D42" s="375">
        <f t="shared" si="16"/>
        <v>1343036.6</v>
      </c>
      <c r="E42" s="376">
        <f t="shared" ref="E42" si="17">B42/D42</f>
        <v>0.9196827547365426</v>
      </c>
      <c r="F42" s="134"/>
      <c r="G42" s="373"/>
      <c r="H42" s="384"/>
      <c r="I42" s="16"/>
      <c r="J42" s="16"/>
    </row>
    <row r="43" spans="1:10" x14ac:dyDescent="0.25">
      <c r="A43" s="374">
        <f t="shared" ref="A43:D43" si="18">A18</f>
        <v>2017</v>
      </c>
      <c r="B43" s="375">
        <f t="shared" si="18"/>
        <v>1246330</v>
      </c>
      <c r="C43" s="375">
        <f t="shared" si="18"/>
        <v>112081.61545988258</v>
      </c>
      <c r="D43" s="375">
        <f t="shared" si="18"/>
        <v>1358411.6154598827</v>
      </c>
      <c r="E43" s="376">
        <f t="shared" ref="E43:E47" si="19">B43/D43</f>
        <v>0.91749068236438924</v>
      </c>
      <c r="F43" s="134"/>
      <c r="G43" s="373"/>
      <c r="H43" s="373"/>
      <c r="I43" s="16"/>
      <c r="J43" s="16"/>
    </row>
    <row r="44" spans="1:10" x14ac:dyDescent="0.25">
      <c r="A44" s="374">
        <f t="shared" ref="A44:D44" si="20">A19</f>
        <v>2018</v>
      </c>
      <c r="B44" s="375">
        <f t="shared" si="20"/>
        <v>1267831.2</v>
      </c>
      <c r="C44" s="375">
        <f t="shared" si="20"/>
        <v>116198.11545988258</v>
      </c>
      <c r="D44" s="375">
        <f t="shared" si="20"/>
        <v>1384029.3154598826</v>
      </c>
      <c r="E44" s="376">
        <f t="shared" si="19"/>
        <v>0.91604360242812299</v>
      </c>
      <c r="F44" s="134"/>
      <c r="G44" s="373"/>
      <c r="H44" s="373"/>
      <c r="I44" s="16"/>
      <c r="J44" s="16"/>
    </row>
    <row r="45" spans="1:10" x14ac:dyDescent="0.25">
      <c r="A45" s="374">
        <f t="shared" ref="A45:D45" si="21">A20</f>
        <v>2019</v>
      </c>
      <c r="B45" s="375">
        <f t="shared" si="21"/>
        <v>1285711</v>
      </c>
      <c r="C45" s="375">
        <f t="shared" si="21"/>
        <v>120029.11545988258</v>
      </c>
      <c r="D45" s="375">
        <f t="shared" si="21"/>
        <v>1405740.1154598827</v>
      </c>
      <c r="E45" s="376">
        <f t="shared" si="19"/>
        <v>0.9146150030579332</v>
      </c>
      <c r="F45" s="134"/>
      <c r="G45" s="373"/>
      <c r="H45" s="373"/>
      <c r="I45" s="16"/>
      <c r="J45" s="16"/>
    </row>
    <row r="46" spans="1:10" x14ac:dyDescent="0.25">
      <c r="A46" s="374">
        <f t="shared" ref="A46:D46" si="22">A21</f>
        <v>2020</v>
      </c>
      <c r="B46" s="375">
        <f t="shared" si="22"/>
        <v>1296247.5</v>
      </c>
      <c r="C46" s="375">
        <f t="shared" si="22"/>
        <v>123716.82974559687</v>
      </c>
      <c r="D46" s="375">
        <f t="shared" si="22"/>
        <v>1419964.329745597</v>
      </c>
      <c r="E46" s="376">
        <f t="shared" si="19"/>
        <v>0.9128732833959553</v>
      </c>
      <c r="F46" s="134"/>
      <c r="G46" s="373"/>
      <c r="H46" s="373"/>
      <c r="I46" s="16"/>
      <c r="J46" s="16"/>
    </row>
    <row r="47" spans="1:10" x14ac:dyDescent="0.25">
      <c r="A47" s="385">
        <f>A22</f>
        <v>2021</v>
      </c>
      <c r="B47" s="386">
        <f>B22</f>
        <v>1306784</v>
      </c>
      <c r="C47" s="386">
        <f>C22</f>
        <v>130674.82974559687</v>
      </c>
      <c r="D47" s="386">
        <f>D22</f>
        <v>1437458.829745597</v>
      </c>
      <c r="E47" s="387">
        <f t="shared" si="19"/>
        <v>0.90909316702397391</v>
      </c>
      <c r="F47" s="134"/>
      <c r="G47" s="373"/>
      <c r="H47" s="373"/>
      <c r="I47" s="16"/>
      <c r="J47" s="16"/>
    </row>
    <row r="48" spans="1:10" x14ac:dyDescent="0.25">
      <c r="A48" s="388"/>
      <c r="B48" s="388"/>
      <c r="C48" s="388"/>
      <c r="D48" s="388"/>
      <c r="E48" s="16"/>
      <c r="F48" s="16"/>
      <c r="G48" s="363"/>
      <c r="H48" s="363"/>
      <c r="I48" s="16"/>
      <c r="J48" s="16"/>
    </row>
    <row r="49" spans="1:10" x14ac:dyDescent="0.25">
      <c r="A49" s="557" t="s">
        <v>162</v>
      </c>
      <c r="B49" s="558"/>
      <c r="C49" s="558"/>
      <c r="D49" s="558"/>
      <c r="E49" s="559"/>
      <c r="F49" s="16"/>
      <c r="G49" s="363"/>
      <c r="H49" s="363"/>
      <c r="I49" s="16"/>
      <c r="J49" s="16"/>
    </row>
    <row r="50" spans="1:10" ht="57.5" x14ac:dyDescent="0.25">
      <c r="A50" s="389" t="s">
        <v>163</v>
      </c>
      <c r="B50" s="265" t="s">
        <v>164</v>
      </c>
      <c r="C50" s="266" t="s">
        <v>165</v>
      </c>
      <c r="D50" s="266" t="s">
        <v>166</v>
      </c>
      <c r="E50" s="267" t="s">
        <v>167</v>
      </c>
      <c r="F50" s="16"/>
      <c r="G50" s="363"/>
      <c r="H50" s="363"/>
      <c r="I50" s="16"/>
      <c r="J50" s="16"/>
    </row>
    <row r="51" spans="1:10" ht="25.5" customHeight="1" x14ac:dyDescent="0.25">
      <c r="A51" s="390" t="s">
        <v>168</v>
      </c>
      <c r="B51" s="300">
        <f>'Tab 5 - WTP Capacity '!G9+'Tab 5 - WTP Capacity '!H12</f>
        <v>307692.30769230769</v>
      </c>
      <c r="C51" s="391">
        <f>AVERAGE('Tab 5 - WTP Capacity '!E31:E42)</f>
        <v>0.92765815498273996</v>
      </c>
      <c r="D51" s="392">
        <f>B51*C51</f>
        <v>285433.27845622768</v>
      </c>
      <c r="E51" s="297">
        <f>'Tab 5 - WTP Capacity '!J23/'Tab 5 - WTP Capacity '!I33*10^6-'Tab 5 - WTP Capacity '!B23</f>
        <v>179663.50744596566</v>
      </c>
      <c r="F51" s="16"/>
      <c r="G51" s="363"/>
      <c r="H51" s="363"/>
      <c r="I51" s="16"/>
      <c r="J51" s="16"/>
    </row>
    <row r="52" spans="1:10" x14ac:dyDescent="0.25">
      <c r="A52" s="393" t="s">
        <v>169</v>
      </c>
      <c r="B52" s="300"/>
      <c r="C52" s="391"/>
      <c r="D52" s="392">
        <f>('Tab 5 - WTP Capacity '!J26-'Tab 5 - WTP Capacity '!J23)/'Tab 5 - WTP Capacity '!I33*10^6</f>
        <v>672393.16239316238</v>
      </c>
      <c r="E52" s="297">
        <f>D52</f>
        <v>672393.16239316238</v>
      </c>
      <c r="F52" s="16"/>
      <c r="G52" s="363"/>
      <c r="H52" s="363"/>
      <c r="I52" s="16"/>
      <c r="J52" s="16"/>
    </row>
    <row r="53" spans="1:10" x14ac:dyDescent="0.25">
      <c r="A53" s="394" t="s">
        <v>170</v>
      </c>
      <c r="B53" s="395"/>
      <c r="C53" s="396"/>
      <c r="D53" s="397"/>
      <c r="E53" s="398">
        <f>SUM(E51:E52)</f>
        <v>852056.66983912804</v>
      </c>
      <c r="F53" s="16"/>
      <c r="G53" s="363"/>
      <c r="H53" s="363"/>
      <c r="I53" s="16"/>
      <c r="J53" s="16"/>
    </row>
  </sheetData>
  <mergeCells count="9">
    <mergeCell ref="A2:F2"/>
    <mergeCell ref="A49:E49"/>
    <mergeCell ref="H30:I30"/>
    <mergeCell ref="A4:A5"/>
    <mergeCell ref="E4:F4"/>
    <mergeCell ref="A3:J3"/>
    <mergeCell ref="I4:I5"/>
    <mergeCell ref="J4:J5"/>
    <mergeCell ref="B4:D4"/>
  </mergeCells>
  <pageMargins left="0.19" right="0.17" top="0.75" bottom="0.25" header="0.3" footer="0.3"/>
  <pageSetup paperSize="5" scale="63" orientation="landscape" r:id="rId1"/>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pageSetUpPr fitToPage="1"/>
  </sheetPr>
  <dimension ref="A1:L28"/>
  <sheetViews>
    <sheetView workbookViewId="0">
      <selection sqref="A1:XFD1048576"/>
    </sheetView>
  </sheetViews>
  <sheetFormatPr defaultColWidth="9.1796875" defaultRowHeight="14.5" x14ac:dyDescent="0.35"/>
  <cols>
    <col min="1" max="1" width="32.81640625" style="3" customWidth="1"/>
    <col min="2" max="7" width="18.1796875" style="4" customWidth="1"/>
    <col min="8" max="8" width="20.26953125" style="4" customWidth="1"/>
    <col min="9" max="9" width="18.1796875" style="4" customWidth="1"/>
    <col min="10" max="16384" width="9.1796875" style="3"/>
  </cols>
  <sheetData>
    <row r="1" spans="1:12" ht="15.5" x14ac:dyDescent="0.35">
      <c r="A1" s="237" t="s">
        <v>171</v>
      </c>
      <c r="B1" s="1"/>
      <c r="C1" s="2"/>
      <c r="D1" s="2"/>
      <c r="E1" s="2"/>
      <c r="F1" s="2"/>
      <c r="G1" s="2"/>
      <c r="H1" s="2"/>
      <c r="I1" s="2"/>
      <c r="J1" s="2"/>
      <c r="K1" s="2"/>
      <c r="L1" s="2"/>
    </row>
    <row r="2" spans="1:12" ht="15.5" x14ac:dyDescent="0.35">
      <c r="A2" s="237" t="s">
        <v>172</v>
      </c>
      <c r="B2" s="3"/>
      <c r="C2" s="1"/>
      <c r="D2" s="1"/>
      <c r="E2" s="1"/>
      <c r="F2" s="1"/>
      <c r="G2" s="1"/>
      <c r="H2" s="1"/>
      <c r="I2" s="1"/>
      <c r="J2" s="1"/>
      <c r="K2" s="1"/>
      <c r="L2" s="1"/>
    </row>
    <row r="3" spans="1:12" s="87" customFormat="1" ht="12.5" x14ac:dyDescent="0.25">
      <c r="A3" s="399" t="s">
        <v>40</v>
      </c>
      <c r="B3" s="239"/>
      <c r="C3" s="239"/>
      <c r="D3" s="239"/>
      <c r="E3" s="239"/>
      <c r="F3" s="239"/>
      <c r="G3" s="239"/>
      <c r="H3" s="239"/>
      <c r="I3" s="239"/>
      <c r="J3" s="239"/>
      <c r="K3" s="239"/>
      <c r="L3" s="239"/>
    </row>
    <row r="4" spans="1:12" s="87" customFormat="1" ht="12.5" x14ac:dyDescent="0.25">
      <c r="A4" s="276" t="s">
        <v>24</v>
      </c>
      <c r="B4" s="505"/>
      <c r="C4" s="506"/>
      <c r="D4" s="506"/>
      <c r="E4" s="505"/>
      <c r="F4" s="505"/>
      <c r="G4" s="506"/>
      <c r="H4" s="506"/>
      <c r="I4" s="239"/>
      <c r="J4" s="239"/>
      <c r="K4" s="239"/>
      <c r="L4" s="239"/>
    </row>
    <row r="5" spans="1:12" s="87" customFormat="1" ht="12.5" x14ac:dyDescent="0.25">
      <c r="A5" s="239"/>
      <c r="B5" s="505"/>
      <c r="C5" s="506"/>
      <c r="D5" s="506"/>
      <c r="E5" s="505"/>
      <c r="F5" s="505"/>
      <c r="G5" s="506"/>
      <c r="H5" s="506"/>
      <c r="I5" s="239"/>
      <c r="J5" s="239"/>
      <c r="K5" s="239"/>
      <c r="L5" s="239"/>
    </row>
    <row r="6" spans="1:12" s="87" customFormat="1" ht="12.5" x14ac:dyDescent="0.25">
      <c r="A6" s="279"/>
      <c r="B6" s="280" t="s">
        <v>42</v>
      </c>
      <c r="C6" s="281" t="s">
        <v>43</v>
      </c>
      <c r="D6" s="280" t="s">
        <v>44</v>
      </c>
      <c r="E6" s="281" t="s">
        <v>45</v>
      </c>
      <c r="F6" s="280" t="s">
        <v>46</v>
      </c>
      <c r="G6" s="282" t="s">
        <v>47</v>
      </c>
      <c r="H6" s="280" t="s">
        <v>48</v>
      </c>
      <c r="I6" s="239"/>
      <c r="J6" s="239"/>
      <c r="K6" s="239"/>
      <c r="L6" s="239"/>
    </row>
    <row r="7" spans="1:12" s="87" customFormat="1" ht="149.5" x14ac:dyDescent="0.25">
      <c r="A7" s="283"/>
      <c r="B7" s="284" t="s">
        <v>173</v>
      </c>
      <c r="C7" s="285" t="s">
        <v>174</v>
      </c>
      <c r="D7" s="284" t="s">
        <v>51</v>
      </c>
      <c r="E7" s="285" t="s">
        <v>175</v>
      </c>
      <c r="F7" s="284" t="s">
        <v>176</v>
      </c>
      <c r="G7" s="286" t="s">
        <v>54</v>
      </c>
      <c r="H7" s="287" t="s">
        <v>177</v>
      </c>
      <c r="I7" s="239"/>
      <c r="J7" s="239"/>
      <c r="K7" s="239"/>
      <c r="L7" s="239"/>
    </row>
    <row r="8" spans="1:12" s="87" customFormat="1" ht="79.5" customHeight="1" x14ac:dyDescent="0.25">
      <c r="A8" s="288"/>
      <c r="B8" s="289" t="s">
        <v>56</v>
      </c>
      <c r="C8" s="290" t="s">
        <v>57</v>
      </c>
      <c r="D8" s="291" t="s">
        <v>58</v>
      </c>
      <c r="E8" s="290" t="s">
        <v>59</v>
      </c>
      <c r="F8" s="292" t="s">
        <v>60</v>
      </c>
      <c r="G8" s="293" t="s">
        <v>61</v>
      </c>
      <c r="H8" s="292" t="s">
        <v>62</v>
      </c>
      <c r="I8" s="239"/>
      <c r="J8" s="239"/>
      <c r="K8" s="239"/>
      <c r="L8" s="239"/>
    </row>
    <row r="9" spans="1:12" s="87" customFormat="1" ht="13" x14ac:dyDescent="0.3">
      <c r="A9" s="501" t="s">
        <v>178</v>
      </c>
      <c r="B9" s="144">
        <f>'Tab 7 - WWTP Future + Current'!D58*1000</f>
        <v>354099461.50571108</v>
      </c>
      <c r="C9" s="497">
        <f>'Tab 10 - WWTP Capacity'!D32</f>
        <v>242500</v>
      </c>
      <c r="D9" s="147">
        <f>+B9/C9</f>
        <v>1460.2039649720045</v>
      </c>
      <c r="E9" s="488">
        <f>'Tab 10 - WWTP Capacity'!E32</f>
        <v>0</v>
      </c>
      <c r="F9" s="144">
        <f>D9*E9</f>
        <v>0</v>
      </c>
      <c r="G9" s="493"/>
      <c r="H9" s="153"/>
      <c r="I9" s="239"/>
      <c r="J9" s="239"/>
      <c r="K9" s="239"/>
      <c r="L9" s="239"/>
    </row>
    <row r="10" spans="1:12" s="87" customFormat="1" ht="12.5" x14ac:dyDescent="0.25">
      <c r="A10" s="502"/>
      <c r="B10" s="144"/>
      <c r="C10" s="498"/>
      <c r="D10" s="148"/>
      <c r="E10" s="489"/>
      <c r="F10" s="151"/>
      <c r="G10" s="494"/>
      <c r="H10" s="154"/>
      <c r="I10" s="239"/>
      <c r="J10" s="239"/>
      <c r="K10" s="239"/>
      <c r="L10" s="239"/>
    </row>
    <row r="11" spans="1:12" s="87" customFormat="1" ht="14" x14ac:dyDescent="0.4">
      <c r="A11" s="503" t="s">
        <v>179</v>
      </c>
      <c r="B11" s="145"/>
      <c r="C11" s="498"/>
      <c r="D11" s="148"/>
      <c r="E11" s="489"/>
      <c r="F11" s="151"/>
      <c r="G11" s="494"/>
      <c r="H11" s="154"/>
      <c r="I11" s="239"/>
      <c r="J11" s="239"/>
      <c r="K11" s="239"/>
      <c r="L11" s="239"/>
    </row>
    <row r="12" spans="1:12" s="87" customFormat="1" ht="12.5" x14ac:dyDescent="0.25">
      <c r="A12" s="502" t="s">
        <v>180</v>
      </c>
      <c r="B12" s="144">
        <f>'Tab 7 - WWTP Future + Current'!D31*1000</f>
        <v>784684637.73199534</v>
      </c>
      <c r="C12" s="498">
        <f>'Tab 10 - WWTP Capacity'!D34</f>
        <v>321720</v>
      </c>
      <c r="D12" s="148">
        <f>+B12/C12</f>
        <v>2439.0297082307452</v>
      </c>
      <c r="E12" s="489">
        <f>'Tab 10 - WWTP Capacity'!E34</f>
        <v>208052.71943431057</v>
      </c>
      <c r="F12" s="151">
        <f>+D12*E12</f>
        <v>507446763.57847959</v>
      </c>
      <c r="G12" s="495"/>
      <c r="H12" s="155"/>
      <c r="I12" s="239"/>
      <c r="J12" s="239"/>
      <c r="K12" s="239"/>
      <c r="L12" s="239"/>
    </row>
    <row r="13" spans="1:12" s="87" customFormat="1" ht="14" x14ac:dyDescent="0.4">
      <c r="A13" s="502" t="s">
        <v>181</v>
      </c>
      <c r="B13" s="145">
        <f>'Tab 7 - WWTP Future + Current'!D55*1000</f>
        <v>379141777.89759833</v>
      </c>
      <c r="C13" s="499">
        <f>'Tab 10 - WWTP Capacity'!D35</f>
        <v>161075</v>
      </c>
      <c r="D13" s="148">
        <f>+B13/C13</f>
        <v>2353.8213745000671</v>
      </c>
      <c r="E13" s="490">
        <f>'Tab 10 - WWTP Capacity'!E35</f>
        <v>161075</v>
      </c>
      <c r="F13" s="152">
        <f>+D13*E13</f>
        <v>379141777.89759833</v>
      </c>
      <c r="G13" s="495"/>
      <c r="H13" s="154"/>
      <c r="I13" s="239"/>
      <c r="J13" s="239"/>
      <c r="K13" s="239"/>
      <c r="L13" s="239"/>
    </row>
    <row r="14" spans="1:12" s="87" customFormat="1" ht="12.5" x14ac:dyDescent="0.25">
      <c r="A14" s="494"/>
      <c r="B14" s="144"/>
      <c r="C14" s="500"/>
      <c r="D14" s="149"/>
      <c r="E14" s="491"/>
      <c r="F14" s="144"/>
      <c r="G14" s="494"/>
      <c r="H14" s="154"/>
      <c r="I14" s="239"/>
      <c r="J14" s="239"/>
      <c r="K14" s="239"/>
      <c r="L14" s="239"/>
    </row>
    <row r="15" spans="1:12" s="87" customFormat="1" ht="13" x14ac:dyDescent="0.3">
      <c r="A15" s="504" t="s">
        <v>65</v>
      </c>
      <c r="B15" s="146">
        <f>+B9+B12+B13</f>
        <v>1517925877.1353047</v>
      </c>
      <c r="C15" s="492">
        <f>+C9+C12+C13</f>
        <v>725295</v>
      </c>
      <c r="D15" s="150"/>
      <c r="E15" s="492">
        <f>+E9+E12+E13</f>
        <v>369127.71943431057</v>
      </c>
      <c r="F15" s="146">
        <f>+F9+F12+F13</f>
        <v>886588541.47607791</v>
      </c>
      <c r="G15" s="496">
        <f>ROUNDDOWN(F15/E15,0)</f>
        <v>2401</v>
      </c>
      <c r="H15" s="156">
        <f>G15*60</f>
        <v>144060</v>
      </c>
      <c r="I15" s="239"/>
      <c r="J15" s="239"/>
      <c r="K15" s="239"/>
      <c r="L15" s="239"/>
    </row>
    <row r="16" spans="1:12" x14ac:dyDescent="0.35">
      <c r="A16" s="5"/>
      <c r="B16" s="6"/>
      <c r="C16" s="6"/>
      <c r="D16" s="6"/>
      <c r="E16" s="6"/>
      <c r="F16" s="3"/>
      <c r="G16" s="3"/>
      <c r="H16" s="3"/>
      <c r="I16" s="3"/>
    </row>
    <row r="17" spans="1:9" x14ac:dyDescent="0.35">
      <c r="A17" s="5"/>
      <c r="B17" s="6"/>
      <c r="C17" s="6"/>
      <c r="D17" s="6"/>
      <c r="E17" s="6"/>
      <c r="F17" s="3"/>
      <c r="G17" s="3"/>
      <c r="H17" s="3"/>
      <c r="I17" s="3"/>
    </row>
    <row r="18" spans="1:9" x14ac:dyDescent="0.35">
      <c r="B18" s="3"/>
      <c r="C18" s="3"/>
      <c r="D18" s="3"/>
      <c r="E18" s="3"/>
      <c r="F18" s="3"/>
      <c r="G18" s="3"/>
      <c r="H18" s="3"/>
      <c r="I18" s="3"/>
    </row>
    <row r="19" spans="1:9" x14ac:dyDescent="0.35">
      <c r="B19" s="3"/>
      <c r="C19" s="3"/>
      <c r="D19" s="3"/>
      <c r="E19" s="3"/>
      <c r="F19" s="141"/>
      <c r="G19" s="13"/>
      <c r="H19" s="3"/>
      <c r="I19" s="3"/>
    </row>
    <row r="20" spans="1:9" x14ac:dyDescent="0.35">
      <c r="B20" s="3"/>
      <c r="C20" s="3"/>
      <c r="D20" s="3"/>
      <c r="E20" s="3"/>
      <c r="F20" s="86"/>
      <c r="G20" s="13"/>
      <c r="H20" s="3"/>
      <c r="I20" s="3"/>
    </row>
    <row r="21" spans="1:9" x14ac:dyDescent="0.35">
      <c r="B21" s="3"/>
      <c r="C21" s="3"/>
      <c r="D21" s="3"/>
      <c r="E21" s="3"/>
      <c r="F21" s="86"/>
      <c r="G21" s="13"/>
      <c r="H21" s="3"/>
      <c r="I21" s="3"/>
    </row>
    <row r="22" spans="1:9" x14ac:dyDescent="0.35">
      <c r="B22" s="3"/>
      <c r="C22" s="3"/>
      <c r="D22" s="3"/>
      <c r="E22" s="3"/>
      <c r="F22" s="86"/>
      <c r="G22" s="13"/>
      <c r="H22" s="3"/>
      <c r="I22" s="3"/>
    </row>
    <row r="23" spans="1:9" x14ac:dyDescent="0.35">
      <c r="B23" s="3"/>
      <c r="C23" s="3"/>
      <c r="D23" s="3"/>
      <c r="E23" s="3"/>
      <c r="F23" s="3"/>
      <c r="G23" s="13"/>
      <c r="H23" s="3"/>
      <c r="I23" s="3"/>
    </row>
    <row r="24" spans="1:9" x14ac:dyDescent="0.35">
      <c r="B24" s="3"/>
      <c r="C24" s="3"/>
      <c r="D24" s="3"/>
      <c r="E24" s="3"/>
      <c r="F24" s="3"/>
      <c r="G24" s="13"/>
      <c r="H24" s="3"/>
      <c r="I24" s="3"/>
    </row>
    <row r="25" spans="1:9" x14ac:dyDescent="0.35">
      <c r="B25" s="3"/>
      <c r="C25" s="3"/>
      <c r="D25" s="3"/>
      <c r="E25" s="3"/>
      <c r="F25" s="3"/>
      <c r="G25" s="13"/>
      <c r="H25" s="3"/>
      <c r="I25" s="3"/>
    </row>
    <row r="26" spans="1:9" x14ac:dyDescent="0.35">
      <c r="A26" s="7"/>
      <c r="B26" s="8"/>
      <c r="C26" s="8"/>
      <c r="D26" s="9"/>
      <c r="E26" s="10"/>
      <c r="F26" s="3"/>
      <c r="G26" s="13"/>
      <c r="H26" s="3"/>
      <c r="I26" s="3"/>
    </row>
    <row r="28" spans="1:9" x14ac:dyDescent="0.35">
      <c r="G28" s="11"/>
    </row>
  </sheetData>
  <pageMargins left="0.7" right="0.7" top="0.75" bottom="0.75" header="0.3" footer="0.3"/>
  <pageSetup scale="58" orientation="landscape"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A82930-92B2-478F-9353-F8924042FC03}">
  <sheetPr>
    <pageSetUpPr fitToPage="1"/>
  </sheetPr>
  <dimension ref="A1:AH62"/>
  <sheetViews>
    <sheetView showGridLines="0" workbookViewId="0">
      <selection sqref="A1:XFD1048576"/>
    </sheetView>
  </sheetViews>
  <sheetFormatPr defaultColWidth="9.1796875" defaultRowHeight="11.5" outlineLevelCol="2" x14ac:dyDescent="0.25"/>
  <cols>
    <col min="1" max="1" width="1.54296875" style="16" customWidth="1"/>
    <col min="2" max="2" width="48.81640625" style="30" customWidth="1"/>
    <col min="3" max="3" width="23.54296875" style="30" customWidth="1"/>
    <col min="4" max="4" width="15" style="30" bestFit="1" customWidth="1"/>
    <col min="5" max="6" width="15.54296875" style="30" customWidth="1"/>
    <col min="7" max="8" width="14" style="30" customWidth="1"/>
    <col min="9" max="10" width="18.1796875" style="30" bestFit="1" customWidth="1"/>
    <col min="11" max="11" width="14.54296875" style="30" customWidth="1"/>
    <col min="12" max="16" width="18.1796875" style="30" bestFit="1" customWidth="1"/>
    <col min="17" max="17" width="14.453125" style="30" customWidth="1"/>
    <col min="18" max="18" width="17" style="30" customWidth="1" outlineLevel="1"/>
    <col min="19" max="22" width="14.453125" style="30" customWidth="1" outlineLevel="1"/>
    <col min="23" max="23" width="14.54296875" style="30" customWidth="1" outlineLevel="1"/>
    <col min="24" max="24" width="15.453125" style="30" customWidth="1" outlineLevel="1"/>
    <col min="25" max="27" width="14.453125" style="30" customWidth="1" outlineLevel="1"/>
    <col min="28" max="28" width="14.453125" style="30" customWidth="1" outlineLevel="2"/>
    <col min="29" max="29" width="15.453125" style="30" customWidth="1" outlineLevel="2"/>
    <col min="30" max="30" width="14.453125" style="30" customWidth="1" outlineLevel="2"/>
    <col min="31" max="31" width="14.54296875" style="30" customWidth="1" outlineLevel="2"/>
    <col min="32" max="32" width="14.453125" style="30" customWidth="1" outlineLevel="2"/>
    <col min="33" max="33" width="16.81640625" style="30" bestFit="1" customWidth="1"/>
    <col min="34" max="34" width="13.54296875" style="30" customWidth="1"/>
    <col min="35" max="16384" width="9.1796875" style="30"/>
  </cols>
  <sheetData>
    <row r="1" spans="2:33" ht="15.5" x14ac:dyDescent="0.35">
      <c r="B1" s="183" t="s">
        <v>182</v>
      </c>
    </row>
    <row r="2" spans="2:33" ht="45.75" customHeight="1" x14ac:dyDescent="0.25">
      <c r="B2" s="539" t="s">
        <v>183</v>
      </c>
      <c r="C2" s="539"/>
      <c r="D2" s="539"/>
      <c r="E2" s="539"/>
      <c r="F2" s="539"/>
    </row>
    <row r="3" spans="2:33" x14ac:dyDescent="0.25">
      <c r="B3" s="32" t="s">
        <v>184</v>
      </c>
      <c r="C3" s="33"/>
      <c r="D3" s="34"/>
      <c r="E3" s="34"/>
      <c r="F3" s="34"/>
      <c r="G3" s="34"/>
      <c r="H3" s="35"/>
      <c r="I3" s="35"/>
      <c r="J3" s="35"/>
      <c r="K3" s="35"/>
      <c r="L3" s="35"/>
      <c r="M3" s="35"/>
      <c r="N3" s="35"/>
      <c r="O3" s="35"/>
      <c r="P3" s="35"/>
      <c r="Q3" s="34"/>
      <c r="R3" s="34"/>
      <c r="S3" s="34"/>
      <c r="T3" s="34"/>
      <c r="U3" s="34"/>
      <c r="V3" s="34"/>
      <c r="W3" s="34"/>
      <c r="X3" s="34"/>
      <c r="Y3" s="34"/>
      <c r="Z3" s="34"/>
      <c r="AA3" s="34"/>
      <c r="AB3" s="34"/>
      <c r="AC3" s="34"/>
      <c r="AD3" s="34"/>
      <c r="AE3" s="34"/>
      <c r="AF3" s="36"/>
    </row>
    <row r="4" spans="2:33" x14ac:dyDescent="0.25">
      <c r="B4" s="39"/>
      <c r="C4" s="187" t="s">
        <v>69</v>
      </c>
      <c r="D4" s="537"/>
      <c r="E4" s="538"/>
      <c r="F4" s="41" t="s">
        <v>70</v>
      </c>
      <c r="G4" s="41">
        <v>2024</v>
      </c>
      <c r="H4" s="42">
        <f t="shared" ref="H4:AF4" si="0">+G4+1</f>
        <v>2025</v>
      </c>
      <c r="I4" s="42">
        <f t="shared" si="0"/>
        <v>2026</v>
      </c>
      <c r="J4" s="42">
        <f t="shared" si="0"/>
        <v>2027</v>
      </c>
      <c r="K4" s="42">
        <f t="shared" si="0"/>
        <v>2028</v>
      </c>
      <c r="L4" s="42">
        <f t="shared" si="0"/>
        <v>2029</v>
      </c>
      <c r="M4" s="42">
        <f t="shared" si="0"/>
        <v>2030</v>
      </c>
      <c r="N4" s="42">
        <f t="shared" si="0"/>
        <v>2031</v>
      </c>
      <c r="O4" s="42">
        <f t="shared" si="0"/>
        <v>2032</v>
      </c>
      <c r="P4" s="42">
        <f t="shared" si="0"/>
        <v>2033</v>
      </c>
      <c r="Q4" s="42">
        <f t="shared" si="0"/>
        <v>2034</v>
      </c>
      <c r="R4" s="42">
        <f t="shared" si="0"/>
        <v>2035</v>
      </c>
      <c r="S4" s="42">
        <f t="shared" si="0"/>
        <v>2036</v>
      </c>
      <c r="T4" s="42">
        <f t="shared" si="0"/>
        <v>2037</v>
      </c>
      <c r="U4" s="42">
        <f t="shared" si="0"/>
        <v>2038</v>
      </c>
      <c r="V4" s="42">
        <f t="shared" si="0"/>
        <v>2039</v>
      </c>
      <c r="W4" s="42">
        <f t="shared" si="0"/>
        <v>2040</v>
      </c>
      <c r="X4" s="42">
        <f t="shared" si="0"/>
        <v>2041</v>
      </c>
      <c r="Y4" s="42">
        <f t="shared" si="0"/>
        <v>2042</v>
      </c>
      <c r="Z4" s="42">
        <f t="shared" si="0"/>
        <v>2043</v>
      </c>
      <c r="AA4" s="42">
        <f t="shared" si="0"/>
        <v>2044</v>
      </c>
      <c r="AB4" s="42">
        <f t="shared" si="0"/>
        <v>2045</v>
      </c>
      <c r="AC4" s="42">
        <f t="shared" si="0"/>
        <v>2046</v>
      </c>
      <c r="AD4" s="42">
        <f t="shared" si="0"/>
        <v>2047</v>
      </c>
      <c r="AE4" s="42">
        <f t="shared" si="0"/>
        <v>2048</v>
      </c>
      <c r="AF4" s="43">
        <f t="shared" si="0"/>
        <v>2049</v>
      </c>
    </row>
    <row r="5" spans="2:33" x14ac:dyDescent="0.25">
      <c r="B5" s="80"/>
      <c r="C5" s="81"/>
      <c r="D5" s="81"/>
      <c r="E5" s="81"/>
      <c r="F5" s="81"/>
      <c r="G5" s="81"/>
      <c r="H5" s="81"/>
      <c r="I5" s="81"/>
      <c r="J5" s="81"/>
      <c r="K5" s="81"/>
      <c r="L5" s="81"/>
      <c r="M5" s="81"/>
      <c r="N5" s="81"/>
      <c r="O5" s="81"/>
      <c r="P5" s="81"/>
      <c r="Q5" s="81"/>
      <c r="R5" s="81"/>
      <c r="S5" s="81"/>
      <c r="T5" s="81"/>
      <c r="U5" s="81"/>
      <c r="V5" s="81"/>
      <c r="W5" s="81"/>
      <c r="X5" s="81"/>
      <c r="Y5" s="81"/>
      <c r="Z5" s="81"/>
      <c r="AA5" s="81"/>
      <c r="AB5" s="81"/>
      <c r="AC5" s="81"/>
      <c r="AD5" s="81"/>
      <c r="AE5" s="81"/>
      <c r="AF5" s="82"/>
    </row>
    <row r="6" spans="2:33" x14ac:dyDescent="0.25">
      <c r="B6" s="179" t="s">
        <v>71</v>
      </c>
      <c r="C6" s="180">
        <f>SUM(D6:AD6)</f>
        <v>581224.762550432</v>
      </c>
      <c r="D6" s="180"/>
      <c r="E6" s="180"/>
      <c r="F6" s="184"/>
      <c r="G6" s="185">
        <f>+G7+G8</f>
        <v>24402.773505760004</v>
      </c>
      <c r="H6" s="185">
        <f t="shared" ref="H6:U6" si="1">+H7+H8</f>
        <v>44332.51659408</v>
      </c>
      <c r="I6" s="185">
        <f t="shared" si="1"/>
        <v>27921.294616799998</v>
      </c>
      <c r="J6" s="185">
        <f>+J7+J8</f>
        <v>74134.515885664019</v>
      </c>
      <c r="K6" s="185">
        <f t="shared" si="1"/>
        <v>72042.551623328007</v>
      </c>
      <c r="L6" s="185">
        <f t="shared" si="1"/>
        <v>10571.265800160001</v>
      </c>
      <c r="M6" s="185">
        <f t="shared" si="1"/>
        <v>20565.277965440004</v>
      </c>
      <c r="N6" s="185">
        <f t="shared" si="1"/>
        <v>26184.986112479997</v>
      </c>
      <c r="O6" s="185">
        <f t="shared" si="1"/>
        <v>43018.97872064</v>
      </c>
      <c r="P6" s="185">
        <f t="shared" si="1"/>
        <v>65230.026370080006</v>
      </c>
      <c r="Q6" s="185">
        <f t="shared" si="1"/>
        <v>66534.627386240012</v>
      </c>
      <c r="R6" s="185">
        <f t="shared" si="1"/>
        <v>60218.667458559998</v>
      </c>
      <c r="S6" s="185">
        <f t="shared" si="1"/>
        <v>46067.280511199999</v>
      </c>
      <c r="T6" s="185">
        <f t="shared" si="1"/>
        <v>0</v>
      </c>
      <c r="U6" s="185">
        <f t="shared" si="1"/>
        <v>0</v>
      </c>
      <c r="V6" s="269"/>
      <c r="W6" s="269"/>
      <c r="X6" s="269"/>
      <c r="Y6" s="269"/>
      <c r="Z6" s="269"/>
      <c r="AA6" s="269"/>
      <c r="AB6" s="269"/>
      <c r="AC6" s="269"/>
      <c r="AD6" s="269"/>
      <c r="AE6" s="269"/>
      <c r="AF6" s="269"/>
    </row>
    <row r="7" spans="2:33" x14ac:dyDescent="0.25">
      <c r="B7" s="44" t="s">
        <v>180</v>
      </c>
      <c r="C7" s="48">
        <f>SUM(D7:AD7)</f>
        <v>222340.16850947199</v>
      </c>
      <c r="D7" s="48"/>
      <c r="E7" s="48"/>
      <c r="F7" s="48"/>
      <c r="G7" s="91">
        <f>'Tab 9 - WWTP Capital'!AM26</f>
        <v>24184.540515200002</v>
      </c>
      <c r="H7" s="91">
        <f>'Tab 9 - WWTP Capital'!AN26</f>
        <v>43442.596335839997</v>
      </c>
      <c r="I7" s="91">
        <f>'Tab 9 - WWTP Capital'!AO26</f>
        <v>27240.626019359999</v>
      </c>
      <c r="J7" s="91">
        <f>'Tab 9 - WWTP Capital'!AP26</f>
        <v>63076.910486304012</v>
      </c>
      <c r="K7" s="91">
        <f>'Tab 9 - WWTP Capital'!AQ26</f>
        <v>58535.411312768003</v>
      </c>
      <c r="L7" s="91">
        <f>'Tab 9 - WWTP Capital'!AR26</f>
        <v>5755.7240000000002</v>
      </c>
      <c r="M7" s="91">
        <f>'Tab 9 - WWTP Capital'!AS26</f>
        <v>104.35984000000001</v>
      </c>
      <c r="N7" s="91">
        <f>'Tab 9 - WWTP Capital'!AT26</f>
        <v>0</v>
      </c>
      <c r="O7" s="91">
        <f>'Tab 9 - WWTP Capital'!AU26</f>
        <v>0</v>
      </c>
      <c r="P7" s="91">
        <f>'Tab 9 - WWTP Capital'!AV26</f>
        <v>0</v>
      </c>
      <c r="Q7" s="91">
        <f>'Tab 9 - WWTP Capital'!AW26</f>
        <v>0</v>
      </c>
      <c r="R7" s="91">
        <f>'Tab 9 - WWTP Capital'!AX26</f>
        <v>0</v>
      </c>
      <c r="S7" s="91">
        <f>'Tab 9 - WWTP Capital'!AY26</f>
        <v>0</v>
      </c>
      <c r="T7" s="91"/>
      <c r="U7" s="91"/>
      <c r="V7" s="91"/>
    </row>
    <row r="8" spans="2:33" x14ac:dyDescent="0.25">
      <c r="B8" s="72" t="s">
        <v>185</v>
      </c>
      <c r="C8" s="54">
        <f>SUM(D8:AD8)</f>
        <v>358884.59404096002</v>
      </c>
      <c r="D8" s="54"/>
      <c r="E8" s="54"/>
      <c r="F8" s="54"/>
      <c r="G8" s="91">
        <f>'Tab 9 - WWTP Capital'!AM27</f>
        <v>218.23299056000005</v>
      </c>
      <c r="H8" s="91">
        <f>'Tab 9 - WWTP Capital'!AN27</f>
        <v>889.92025824000007</v>
      </c>
      <c r="I8" s="91">
        <f>'Tab 9 - WWTP Capital'!AO27</f>
        <v>680.66859743999998</v>
      </c>
      <c r="J8" s="91">
        <f>'Tab 9 - WWTP Capital'!AP27</f>
        <v>11057.605399360002</v>
      </c>
      <c r="K8" s="91">
        <f>'Tab 9 - WWTP Capital'!AQ27</f>
        <v>13507.14031056</v>
      </c>
      <c r="L8" s="91">
        <f>'Tab 9 - WWTP Capital'!AR27</f>
        <v>4815.541800160001</v>
      </c>
      <c r="M8" s="91">
        <f>'Tab 9 - WWTP Capital'!AS27</f>
        <v>20460.918125440003</v>
      </c>
      <c r="N8" s="91">
        <f>'Tab 9 - WWTP Capital'!AT27</f>
        <v>26184.986112479997</v>
      </c>
      <c r="O8" s="91">
        <f>'Tab 9 - WWTP Capital'!AU27</f>
        <v>43018.97872064</v>
      </c>
      <c r="P8" s="91">
        <f>'Tab 9 - WWTP Capital'!AV27</f>
        <v>65230.026370080006</v>
      </c>
      <c r="Q8" s="91">
        <f>'Tab 9 - WWTP Capital'!AW27</f>
        <v>66534.627386240012</v>
      </c>
      <c r="R8" s="91">
        <f>'Tab 9 - WWTP Capital'!AX27</f>
        <v>60218.667458559998</v>
      </c>
      <c r="S8" s="91">
        <f>'Tab 9 - WWTP Capital'!AY27</f>
        <v>46067.280511199999</v>
      </c>
      <c r="T8" s="91"/>
      <c r="U8" s="91"/>
      <c r="V8" s="91"/>
    </row>
    <row r="9" spans="2:33" x14ac:dyDescent="0.25">
      <c r="B9" s="44"/>
      <c r="C9" s="48"/>
      <c r="D9" s="48"/>
      <c r="E9" s="48"/>
      <c r="F9" s="48"/>
      <c r="G9" s="48"/>
      <c r="H9" s="48"/>
      <c r="I9" s="48"/>
      <c r="J9" s="48"/>
      <c r="K9" s="48"/>
      <c r="L9" s="48"/>
      <c r="M9" s="48"/>
      <c r="N9" s="48"/>
      <c r="O9" s="48"/>
      <c r="P9" s="48"/>
      <c r="Q9" s="48"/>
      <c r="R9" s="48"/>
      <c r="S9" s="48"/>
      <c r="T9" s="48"/>
      <c r="U9" s="48"/>
      <c r="V9" s="48"/>
      <c r="W9" s="48"/>
      <c r="X9" s="48"/>
      <c r="Y9" s="48"/>
      <c r="Z9" s="48"/>
      <c r="AA9" s="48"/>
      <c r="AB9" s="48"/>
      <c r="AC9" s="48"/>
      <c r="AD9" s="48"/>
      <c r="AE9" s="48"/>
      <c r="AF9" s="48"/>
    </row>
    <row r="10" spans="2:33" x14ac:dyDescent="0.25">
      <c r="B10" s="186" t="s">
        <v>186</v>
      </c>
      <c r="C10" s="40"/>
      <c r="D10" s="40"/>
      <c r="E10" s="40"/>
      <c r="F10" s="41" t="str">
        <f>F4</f>
        <v>2023 &amp; Prior</v>
      </c>
      <c r="G10" s="41">
        <f>G4</f>
        <v>2024</v>
      </c>
      <c r="H10" s="42">
        <f>H4</f>
        <v>2025</v>
      </c>
      <c r="I10" s="42">
        <f t="shared" ref="I10:AF10" si="2">I4</f>
        <v>2026</v>
      </c>
      <c r="J10" s="42">
        <f t="shared" si="2"/>
        <v>2027</v>
      </c>
      <c r="K10" s="42">
        <f t="shared" si="2"/>
        <v>2028</v>
      </c>
      <c r="L10" s="42">
        <f t="shared" si="2"/>
        <v>2029</v>
      </c>
      <c r="M10" s="42">
        <f t="shared" si="2"/>
        <v>2030</v>
      </c>
      <c r="N10" s="42">
        <f t="shared" si="2"/>
        <v>2031</v>
      </c>
      <c r="O10" s="42">
        <f t="shared" si="2"/>
        <v>2032</v>
      </c>
      <c r="P10" s="42">
        <f t="shared" si="2"/>
        <v>2033</v>
      </c>
      <c r="Q10" s="42">
        <f t="shared" si="2"/>
        <v>2034</v>
      </c>
      <c r="R10" s="42">
        <f t="shared" si="2"/>
        <v>2035</v>
      </c>
      <c r="S10" s="42">
        <f t="shared" si="2"/>
        <v>2036</v>
      </c>
      <c r="T10" s="42">
        <f t="shared" si="2"/>
        <v>2037</v>
      </c>
      <c r="U10" s="42">
        <f t="shared" si="2"/>
        <v>2038</v>
      </c>
      <c r="V10" s="42">
        <f t="shared" si="2"/>
        <v>2039</v>
      </c>
      <c r="W10" s="42">
        <f t="shared" si="2"/>
        <v>2040</v>
      </c>
      <c r="X10" s="42">
        <f t="shared" si="2"/>
        <v>2041</v>
      </c>
      <c r="Y10" s="42">
        <f t="shared" si="2"/>
        <v>2042</v>
      </c>
      <c r="Z10" s="42">
        <f t="shared" si="2"/>
        <v>2043</v>
      </c>
      <c r="AA10" s="42">
        <f t="shared" si="2"/>
        <v>2044</v>
      </c>
      <c r="AB10" s="42">
        <f t="shared" si="2"/>
        <v>2045</v>
      </c>
      <c r="AC10" s="42">
        <f t="shared" si="2"/>
        <v>2046</v>
      </c>
      <c r="AD10" s="42">
        <f t="shared" si="2"/>
        <v>2047</v>
      </c>
      <c r="AE10" s="42">
        <f t="shared" si="2"/>
        <v>2048</v>
      </c>
      <c r="AF10" s="42">
        <f t="shared" si="2"/>
        <v>2049</v>
      </c>
      <c r="AG10" s="43" t="s">
        <v>187</v>
      </c>
    </row>
    <row r="11" spans="2:33" x14ac:dyDescent="0.25">
      <c r="B11" s="44" t="s">
        <v>75</v>
      </c>
      <c r="F11" s="49"/>
      <c r="G11" s="92">
        <v>10</v>
      </c>
      <c r="H11" s="92">
        <v>10</v>
      </c>
      <c r="I11" s="92">
        <v>10</v>
      </c>
      <c r="J11" s="92">
        <v>10</v>
      </c>
      <c r="K11" s="92">
        <v>10</v>
      </c>
      <c r="L11" s="92">
        <v>10</v>
      </c>
      <c r="M11" s="92">
        <v>10</v>
      </c>
      <c r="N11" s="92">
        <v>10</v>
      </c>
      <c r="O11" s="92">
        <v>10</v>
      </c>
      <c r="P11" s="92">
        <v>10</v>
      </c>
      <c r="Q11" s="92">
        <v>10</v>
      </c>
      <c r="R11" s="92">
        <v>10</v>
      </c>
      <c r="S11" s="92">
        <v>10</v>
      </c>
      <c r="T11" s="92">
        <v>10</v>
      </c>
      <c r="U11" s="92">
        <v>10</v>
      </c>
      <c r="AG11" s="47"/>
    </row>
    <row r="12" spans="2:33" x14ac:dyDescent="0.25">
      <c r="B12" s="44" t="s">
        <v>188</v>
      </c>
      <c r="F12" s="51"/>
      <c r="G12" s="529">
        <v>4.9702142857142854E-2</v>
      </c>
      <c r="H12" s="529">
        <v>4.9176142857142856E-2</v>
      </c>
      <c r="I12" s="529">
        <v>4.9727142857142859E-2</v>
      </c>
      <c r="J12" s="529">
        <v>5.0935142857142852E-2</v>
      </c>
      <c r="K12" s="529">
        <v>5.2664142857142854E-2</v>
      </c>
      <c r="L12" s="529">
        <v>5.3821142857142859E-2</v>
      </c>
      <c r="M12" s="529">
        <v>5.4979142857142858E-2</v>
      </c>
      <c r="N12" s="529">
        <v>5.5651142857142857E-2</v>
      </c>
      <c r="O12" s="529">
        <v>5.6246142857142856E-2</v>
      </c>
      <c r="P12" s="529">
        <v>5.678514285714286E-2</v>
      </c>
      <c r="Q12" s="529">
        <v>5.6747142857142857E-2</v>
      </c>
      <c r="R12" s="529">
        <v>5.6709142857142861E-2</v>
      </c>
      <c r="S12" s="529">
        <v>5.6671142857142857E-2</v>
      </c>
      <c r="T12" s="529">
        <v>5.6633142857142854E-2</v>
      </c>
      <c r="U12" s="529">
        <v>5.557014285714286E-2</v>
      </c>
      <c r="AG12" s="47"/>
    </row>
    <row r="13" spans="2:33" x14ac:dyDescent="0.25">
      <c r="B13" s="44" t="s">
        <v>77</v>
      </c>
      <c r="G13" s="48"/>
      <c r="H13" s="48"/>
      <c r="I13" s="48"/>
      <c r="J13" s="48"/>
      <c r="K13" s="48"/>
      <c r="L13" s="48"/>
      <c r="M13" s="48"/>
      <c r="N13" s="48"/>
      <c r="O13" s="48"/>
      <c r="P13" s="48"/>
      <c r="AG13" s="47"/>
    </row>
    <row r="14" spans="2:33" x14ac:dyDescent="0.25">
      <c r="B14" s="44" t="s">
        <v>78</v>
      </c>
      <c r="G14" s="48"/>
      <c r="H14" s="48"/>
      <c r="I14" s="48"/>
      <c r="J14" s="48"/>
      <c r="K14" s="48"/>
      <c r="L14" s="48"/>
      <c r="M14" s="48"/>
      <c r="N14" s="48"/>
      <c r="O14" s="48"/>
      <c r="P14" s="48"/>
      <c r="AG14" s="47"/>
    </row>
    <row r="15" spans="2:33" x14ac:dyDescent="0.25">
      <c r="B15" s="52" t="s">
        <v>189</v>
      </c>
      <c r="C15" s="53"/>
      <c r="D15" s="53"/>
      <c r="E15" s="53"/>
      <c r="F15" s="53"/>
      <c r="G15" s="533">
        <v>3.5799999999999998E-2</v>
      </c>
      <c r="H15" s="54"/>
      <c r="I15" s="54"/>
      <c r="J15" s="54"/>
      <c r="K15" s="54"/>
      <c r="L15" s="54"/>
      <c r="M15" s="54"/>
      <c r="N15" s="54"/>
      <c r="O15" s="54"/>
      <c r="P15" s="55"/>
      <c r="Q15" s="55"/>
      <c r="R15" s="55"/>
      <c r="S15" s="55"/>
      <c r="T15" s="55"/>
      <c r="U15" s="55"/>
      <c r="V15" s="55"/>
      <c r="W15" s="55"/>
      <c r="X15" s="55"/>
      <c r="Y15" s="55"/>
      <c r="Z15" s="55"/>
      <c r="AA15" s="55"/>
      <c r="AB15" s="55"/>
      <c r="AC15" s="55"/>
      <c r="AD15" s="55"/>
      <c r="AE15" s="55"/>
      <c r="AF15" s="55"/>
      <c r="AG15" s="56"/>
    </row>
    <row r="16" spans="2:33" x14ac:dyDescent="0.25">
      <c r="F16" s="48"/>
    </row>
    <row r="17" spans="2:34" x14ac:dyDescent="0.25">
      <c r="B17" s="57" t="s">
        <v>190</v>
      </c>
      <c r="C17" s="58"/>
      <c r="D17" s="34"/>
      <c r="E17" s="34"/>
      <c r="F17" s="34"/>
      <c r="G17" s="34"/>
      <c r="H17" s="59"/>
      <c r="I17" s="59"/>
      <c r="J17" s="59"/>
      <c r="K17" s="59"/>
      <c r="L17" s="59"/>
      <c r="M17" s="59"/>
      <c r="N17" s="59"/>
      <c r="O17" s="59"/>
      <c r="P17" s="59"/>
      <c r="Q17" s="59"/>
      <c r="R17" s="59"/>
      <c r="S17" s="59"/>
      <c r="T17" s="59"/>
      <c r="U17" s="59"/>
      <c r="V17" s="59"/>
      <c r="W17" s="59"/>
      <c r="X17" s="59"/>
      <c r="Y17" s="59"/>
      <c r="Z17" s="59"/>
      <c r="AA17" s="59"/>
      <c r="AB17" s="59"/>
      <c r="AC17" s="59"/>
      <c r="AD17" s="59"/>
      <c r="AE17" s="59"/>
      <c r="AF17" s="59"/>
      <c r="AG17" s="36"/>
    </row>
    <row r="18" spans="2:34" ht="23" x14ac:dyDescent="0.25">
      <c r="B18" s="403" t="s">
        <v>81</v>
      </c>
      <c r="C18" s="60" t="s">
        <v>69</v>
      </c>
      <c r="D18" s="60" t="s">
        <v>191</v>
      </c>
      <c r="E18" s="60" t="s">
        <v>83</v>
      </c>
      <c r="F18" s="61" t="str">
        <f>F4</f>
        <v>2023 &amp; Prior</v>
      </c>
      <c r="G18" s="61">
        <f t="shared" ref="G18:Z18" si="3">G4</f>
        <v>2024</v>
      </c>
      <c r="H18" s="61">
        <f t="shared" si="3"/>
        <v>2025</v>
      </c>
      <c r="I18" s="61">
        <f t="shared" si="3"/>
        <v>2026</v>
      </c>
      <c r="J18" s="61">
        <f t="shared" si="3"/>
        <v>2027</v>
      </c>
      <c r="K18" s="61">
        <f t="shared" si="3"/>
        <v>2028</v>
      </c>
      <c r="L18" s="61">
        <f t="shared" si="3"/>
        <v>2029</v>
      </c>
      <c r="M18" s="61">
        <f t="shared" si="3"/>
        <v>2030</v>
      </c>
      <c r="N18" s="61">
        <f t="shared" si="3"/>
        <v>2031</v>
      </c>
      <c r="O18" s="61">
        <f t="shared" si="3"/>
        <v>2032</v>
      </c>
      <c r="P18" s="61">
        <f t="shared" si="3"/>
        <v>2033</v>
      </c>
      <c r="Q18" s="61">
        <f t="shared" si="3"/>
        <v>2034</v>
      </c>
      <c r="R18" s="61">
        <f t="shared" si="3"/>
        <v>2035</v>
      </c>
      <c r="S18" s="61">
        <f t="shared" si="3"/>
        <v>2036</v>
      </c>
      <c r="T18" s="61">
        <f t="shared" si="3"/>
        <v>2037</v>
      </c>
      <c r="U18" s="61">
        <f t="shared" si="3"/>
        <v>2038</v>
      </c>
      <c r="V18" s="61">
        <f t="shared" si="3"/>
        <v>2039</v>
      </c>
      <c r="W18" s="61">
        <f t="shared" si="3"/>
        <v>2040</v>
      </c>
      <c r="X18" s="61">
        <f t="shared" si="3"/>
        <v>2041</v>
      </c>
      <c r="Y18" s="61">
        <f t="shared" si="3"/>
        <v>2042</v>
      </c>
      <c r="Z18" s="61">
        <f t="shared" si="3"/>
        <v>2043</v>
      </c>
      <c r="AA18" s="37">
        <f t="shared" ref="AA18:AF18" si="4">+Z18+1</f>
        <v>2044</v>
      </c>
      <c r="AB18" s="37">
        <f t="shared" si="4"/>
        <v>2045</v>
      </c>
      <c r="AC18" s="37">
        <f t="shared" si="4"/>
        <v>2046</v>
      </c>
      <c r="AD18" s="37">
        <f t="shared" si="4"/>
        <v>2047</v>
      </c>
      <c r="AE18" s="37">
        <f t="shared" si="4"/>
        <v>2048</v>
      </c>
      <c r="AF18" s="37">
        <f t="shared" si="4"/>
        <v>2049</v>
      </c>
      <c r="AG18" s="38"/>
    </row>
    <row r="19" spans="2:34" x14ac:dyDescent="0.25">
      <c r="B19" s="44"/>
      <c r="AG19" s="45"/>
    </row>
    <row r="20" spans="2:34" x14ac:dyDescent="0.25">
      <c r="B20" s="274">
        <v>2024</v>
      </c>
      <c r="C20" s="48">
        <f>G7</f>
        <v>24184.540515200002</v>
      </c>
      <c r="D20" s="93">
        <f>NPV($G$15,H20:AF20)+F20+G20</f>
        <v>26123.757851603092</v>
      </c>
      <c r="E20" s="62">
        <f>SUM(F20:AF20)</f>
        <v>30983.744119598341</v>
      </c>
      <c r="F20" s="62">
        <v>0</v>
      </c>
      <c r="G20" s="62">
        <f>-PMT($G$12/2,$G$11*2,$G$7)</f>
        <v>1549.1872059799171</v>
      </c>
      <c r="H20" s="62">
        <f>G20*2</f>
        <v>3098.3744119598341</v>
      </c>
      <c r="I20" s="62">
        <f>H20</f>
        <v>3098.3744119598341</v>
      </c>
      <c r="J20" s="62">
        <f t="shared" ref="J20:P20" si="5">I20</f>
        <v>3098.3744119598341</v>
      </c>
      <c r="K20" s="62">
        <f t="shared" si="5"/>
        <v>3098.3744119598341</v>
      </c>
      <c r="L20" s="62">
        <f t="shared" si="5"/>
        <v>3098.3744119598341</v>
      </c>
      <c r="M20" s="62">
        <f t="shared" si="5"/>
        <v>3098.3744119598341</v>
      </c>
      <c r="N20" s="62">
        <f t="shared" si="5"/>
        <v>3098.3744119598341</v>
      </c>
      <c r="O20" s="62">
        <f t="shared" si="5"/>
        <v>3098.3744119598341</v>
      </c>
      <c r="P20" s="62">
        <f t="shared" si="5"/>
        <v>3098.3744119598341</v>
      </c>
      <c r="Q20" s="62">
        <f>P20/2</f>
        <v>1549.1872059799171</v>
      </c>
      <c r="R20" s="62">
        <v>0</v>
      </c>
      <c r="S20" s="62">
        <v>0</v>
      </c>
      <c r="T20" s="62">
        <v>0</v>
      </c>
      <c r="U20" s="62">
        <v>0</v>
      </c>
      <c r="V20" s="62">
        <v>0</v>
      </c>
      <c r="W20" s="62">
        <v>0</v>
      </c>
      <c r="X20" s="62">
        <v>0</v>
      </c>
      <c r="Y20" s="62">
        <v>0</v>
      </c>
      <c r="Z20" s="62">
        <v>0</v>
      </c>
      <c r="AA20" s="62">
        <v>0</v>
      </c>
      <c r="AB20" s="62">
        <v>0</v>
      </c>
      <c r="AC20" s="62">
        <v>0</v>
      </c>
      <c r="AD20" s="62">
        <v>0</v>
      </c>
      <c r="AE20" s="62">
        <v>0</v>
      </c>
      <c r="AF20" s="62">
        <v>0</v>
      </c>
      <c r="AG20" s="45"/>
    </row>
    <row r="21" spans="2:34" x14ac:dyDescent="0.25">
      <c r="B21" s="274">
        <v>2025</v>
      </c>
      <c r="C21" s="48">
        <f>H7</f>
        <v>43442.596335839997</v>
      </c>
      <c r="D21" s="93">
        <f t="shared" ref="D21:D24" si="6">NPV($G$15,H21:AF21)+F21+G21</f>
        <v>45191.571572064706</v>
      </c>
      <c r="E21" s="62">
        <f t="shared" ref="E21:E25" si="7">SUM(F21:AF21)</f>
        <v>55517.717037888804</v>
      </c>
      <c r="F21" s="62">
        <v>0</v>
      </c>
      <c r="G21" s="62">
        <v>0</v>
      </c>
      <c r="H21" s="62">
        <f>-PMT($H$12/2,$H$11*2,$H$7)</f>
        <v>2775.8858518944403</v>
      </c>
      <c r="I21" s="62">
        <f>H21*2</f>
        <v>5551.7717037888806</v>
      </c>
      <c r="J21" s="62">
        <f>I21</f>
        <v>5551.7717037888806</v>
      </c>
      <c r="K21" s="62">
        <f t="shared" ref="K21:Q21" si="8">J21</f>
        <v>5551.7717037888806</v>
      </c>
      <c r="L21" s="62">
        <f t="shared" si="8"/>
        <v>5551.7717037888806</v>
      </c>
      <c r="M21" s="62">
        <f t="shared" si="8"/>
        <v>5551.7717037888806</v>
      </c>
      <c r="N21" s="62">
        <f t="shared" si="8"/>
        <v>5551.7717037888806</v>
      </c>
      <c r="O21" s="62">
        <f t="shared" si="8"/>
        <v>5551.7717037888806</v>
      </c>
      <c r="P21" s="62">
        <f t="shared" si="8"/>
        <v>5551.7717037888806</v>
      </c>
      <c r="Q21" s="62">
        <f t="shared" si="8"/>
        <v>5551.7717037888806</v>
      </c>
      <c r="R21" s="62">
        <f>Q21/2</f>
        <v>2775.8858518944403</v>
      </c>
      <c r="S21" s="62">
        <v>0</v>
      </c>
      <c r="T21" s="62">
        <v>0</v>
      </c>
      <c r="U21" s="62">
        <v>0</v>
      </c>
      <c r="V21" s="62">
        <v>0</v>
      </c>
      <c r="W21" s="62">
        <v>0</v>
      </c>
      <c r="X21" s="62">
        <v>0</v>
      </c>
      <c r="Y21" s="62">
        <v>0</v>
      </c>
      <c r="Z21" s="62">
        <v>0</v>
      </c>
      <c r="AA21" s="62">
        <v>0</v>
      </c>
      <c r="AB21" s="62">
        <v>0</v>
      </c>
      <c r="AC21" s="62">
        <v>0</v>
      </c>
      <c r="AD21" s="62">
        <v>0</v>
      </c>
      <c r="AE21" s="62">
        <v>0</v>
      </c>
      <c r="AF21" s="62">
        <v>0</v>
      </c>
      <c r="AG21" s="24"/>
    </row>
    <row r="22" spans="2:34" x14ac:dyDescent="0.25">
      <c r="B22" s="274">
        <v>2026</v>
      </c>
      <c r="C22" s="48">
        <f>I7</f>
        <v>27240.626019359999</v>
      </c>
      <c r="D22" s="93">
        <f>NPV($G$15,H22:AE22)+F22+G22</f>
        <v>27429.278933519883</v>
      </c>
      <c r="E22" s="62">
        <f>SUM(F22:AF22)</f>
        <v>34903.136213126862</v>
      </c>
      <c r="F22" s="62">
        <f>0</f>
        <v>0</v>
      </c>
      <c r="G22" s="62">
        <v>0</v>
      </c>
      <c r="H22" s="62">
        <v>0</v>
      </c>
      <c r="I22" s="62">
        <f>-PMT($I$12/2,$I$11*2,$I$7)</f>
        <v>1745.1568106563429</v>
      </c>
      <c r="J22" s="62">
        <f>I22*2</f>
        <v>3490.3136213126859</v>
      </c>
      <c r="K22" s="62">
        <f t="shared" ref="K22:Q22" si="9">J22</f>
        <v>3490.3136213126859</v>
      </c>
      <c r="L22" s="62">
        <f t="shared" si="9"/>
        <v>3490.3136213126859</v>
      </c>
      <c r="M22" s="62">
        <f t="shared" si="9"/>
        <v>3490.3136213126859</v>
      </c>
      <c r="N22" s="62">
        <f t="shared" si="9"/>
        <v>3490.3136213126859</v>
      </c>
      <c r="O22" s="62">
        <f t="shared" si="9"/>
        <v>3490.3136213126859</v>
      </c>
      <c r="P22" s="62">
        <f t="shared" si="9"/>
        <v>3490.3136213126859</v>
      </c>
      <c r="Q22" s="62">
        <f t="shared" si="9"/>
        <v>3490.3136213126859</v>
      </c>
      <c r="R22" s="62">
        <f>Q22</f>
        <v>3490.3136213126859</v>
      </c>
      <c r="S22" s="62">
        <f>R22/2</f>
        <v>1745.1568106563429</v>
      </c>
      <c r="T22" s="62">
        <v>0</v>
      </c>
      <c r="U22" s="62">
        <v>0</v>
      </c>
      <c r="V22" s="62">
        <v>0</v>
      </c>
      <c r="W22" s="62">
        <v>0</v>
      </c>
      <c r="X22" s="62">
        <v>0</v>
      </c>
      <c r="Y22" s="62">
        <v>0</v>
      </c>
      <c r="Z22" s="62">
        <v>0</v>
      </c>
      <c r="AA22" s="62">
        <v>0</v>
      </c>
      <c r="AB22" s="62">
        <v>0</v>
      </c>
      <c r="AC22" s="62">
        <v>0</v>
      </c>
      <c r="AD22" s="62">
        <v>0</v>
      </c>
      <c r="AE22" s="62">
        <v>0</v>
      </c>
      <c r="AF22" s="62">
        <v>0</v>
      </c>
      <c r="AH22" s="63"/>
    </row>
    <row r="23" spans="2:34" x14ac:dyDescent="0.25">
      <c r="B23" s="274">
        <v>2027</v>
      </c>
      <c r="C23" s="48">
        <f>J7</f>
        <v>63076.910486304012</v>
      </c>
      <c r="D23" s="93">
        <f t="shared" si="6"/>
        <v>61669.142697327705</v>
      </c>
      <c r="E23" s="62">
        <f t="shared" si="7"/>
        <v>81281.906001805284</v>
      </c>
      <c r="F23" s="62">
        <v>0</v>
      </c>
      <c r="G23" s="62">
        <v>0</v>
      </c>
      <c r="H23" s="62">
        <v>0</v>
      </c>
      <c r="I23" s="62">
        <v>0</v>
      </c>
      <c r="J23" s="62">
        <f>-PMT($J$12/2,$J$11*2,$J$7)</f>
        <v>4064.0953000902641</v>
      </c>
      <c r="K23" s="62">
        <f>J23*2</f>
        <v>8128.1906001805282</v>
      </c>
      <c r="L23" s="62">
        <f>K23</f>
        <v>8128.1906001805282</v>
      </c>
      <c r="M23" s="62">
        <f t="shared" ref="M23:S23" si="10">L23</f>
        <v>8128.1906001805282</v>
      </c>
      <c r="N23" s="62">
        <f t="shared" si="10"/>
        <v>8128.1906001805282</v>
      </c>
      <c r="O23" s="62">
        <f t="shared" si="10"/>
        <v>8128.1906001805282</v>
      </c>
      <c r="P23" s="62">
        <f t="shared" si="10"/>
        <v>8128.1906001805282</v>
      </c>
      <c r="Q23" s="62">
        <f t="shared" si="10"/>
        <v>8128.1906001805282</v>
      </c>
      <c r="R23" s="62">
        <f t="shared" si="10"/>
        <v>8128.1906001805282</v>
      </c>
      <c r="S23" s="62">
        <f t="shared" si="10"/>
        <v>8128.1906001805282</v>
      </c>
      <c r="T23" s="62">
        <f>S23/2</f>
        <v>4064.0953000902641</v>
      </c>
      <c r="U23" s="62">
        <v>0</v>
      </c>
      <c r="V23" s="62">
        <v>0</v>
      </c>
      <c r="W23" s="62">
        <v>0</v>
      </c>
      <c r="X23" s="62">
        <v>0</v>
      </c>
      <c r="Y23" s="62">
        <v>0</v>
      </c>
      <c r="Z23" s="62">
        <v>0</v>
      </c>
      <c r="AA23" s="62">
        <v>0</v>
      </c>
      <c r="AB23" s="62">
        <v>0</v>
      </c>
      <c r="AC23" s="62">
        <v>0</v>
      </c>
      <c r="AD23" s="62">
        <v>0</v>
      </c>
      <c r="AE23" s="62">
        <v>0</v>
      </c>
      <c r="AF23" s="62">
        <v>0</v>
      </c>
      <c r="AG23" s="24"/>
    </row>
    <row r="24" spans="2:34" x14ac:dyDescent="0.25">
      <c r="B24" s="274">
        <v>2028</v>
      </c>
      <c r="C24" s="48">
        <f>K7</f>
        <v>58535.411312768003</v>
      </c>
      <c r="D24" s="93">
        <f t="shared" si="6"/>
        <v>55702.30207988499</v>
      </c>
      <c r="E24" s="62">
        <f t="shared" si="7"/>
        <v>76045.762481970291</v>
      </c>
      <c r="F24" s="62">
        <v>0</v>
      </c>
      <c r="G24" s="62">
        <v>0</v>
      </c>
      <c r="H24" s="62">
        <v>0</v>
      </c>
      <c r="I24" s="62">
        <v>0</v>
      </c>
      <c r="J24" s="62">
        <v>0</v>
      </c>
      <c r="K24" s="62">
        <f>-PMT($K$12/2,$K$11*2,$K$7)</f>
        <v>3802.2881240985148</v>
      </c>
      <c r="L24" s="62">
        <f>K24*2</f>
        <v>7604.5762481970296</v>
      </c>
      <c r="M24" s="62">
        <f>L24</f>
        <v>7604.5762481970296</v>
      </c>
      <c r="N24" s="62">
        <f t="shared" ref="N24:T24" si="11">M24</f>
        <v>7604.5762481970296</v>
      </c>
      <c r="O24" s="62">
        <f t="shared" si="11"/>
        <v>7604.5762481970296</v>
      </c>
      <c r="P24" s="62">
        <f t="shared" si="11"/>
        <v>7604.5762481970296</v>
      </c>
      <c r="Q24" s="62">
        <f t="shared" si="11"/>
        <v>7604.5762481970296</v>
      </c>
      <c r="R24" s="62">
        <f t="shared" si="11"/>
        <v>7604.5762481970296</v>
      </c>
      <c r="S24" s="62">
        <f t="shared" si="11"/>
        <v>7604.5762481970296</v>
      </c>
      <c r="T24" s="62">
        <f t="shared" si="11"/>
        <v>7604.5762481970296</v>
      </c>
      <c r="U24" s="62">
        <f>T24/2</f>
        <v>3802.2881240985148</v>
      </c>
      <c r="V24" s="62">
        <v>0</v>
      </c>
      <c r="W24" s="62">
        <v>0</v>
      </c>
      <c r="X24" s="62">
        <v>0</v>
      </c>
      <c r="Y24" s="62">
        <v>0</v>
      </c>
      <c r="Z24" s="62">
        <v>0</v>
      </c>
      <c r="AA24" s="62">
        <v>0</v>
      </c>
      <c r="AB24" s="62">
        <v>0</v>
      </c>
      <c r="AC24" s="62">
        <v>0</v>
      </c>
      <c r="AD24" s="62">
        <v>0</v>
      </c>
      <c r="AE24" s="62">
        <v>0</v>
      </c>
      <c r="AF24" s="62">
        <v>0</v>
      </c>
      <c r="AG24" s="24"/>
    </row>
    <row r="25" spans="2:34" x14ac:dyDescent="0.25">
      <c r="B25" s="274">
        <v>2029</v>
      </c>
      <c r="C25" s="48">
        <f>L7</f>
        <v>5755.7240000000002</v>
      </c>
      <c r="D25" s="93">
        <f>NPV($G$15,H25:AF25)+F25+G25</f>
        <v>5316.6163666822877</v>
      </c>
      <c r="E25" s="62">
        <f t="shared" si="7"/>
        <v>7518.186678069902</v>
      </c>
      <c r="F25" s="62">
        <v>0</v>
      </c>
      <c r="G25" s="62">
        <v>0</v>
      </c>
      <c r="H25" s="62">
        <v>0</v>
      </c>
      <c r="I25" s="62">
        <v>0</v>
      </c>
      <c r="J25" s="62">
        <v>0</v>
      </c>
      <c r="K25" s="62">
        <v>0</v>
      </c>
      <c r="L25" s="62">
        <f>-PMT($L$12/2,$L$11*2,$L$7)</f>
        <v>375.90933390349505</v>
      </c>
      <c r="M25" s="62">
        <f>L25*2</f>
        <v>751.81866780699011</v>
      </c>
      <c r="N25" s="62">
        <f>M25</f>
        <v>751.81866780699011</v>
      </c>
      <c r="O25" s="62">
        <f t="shared" ref="O25:U26" si="12">N25</f>
        <v>751.81866780699011</v>
      </c>
      <c r="P25" s="62">
        <f t="shared" si="12"/>
        <v>751.81866780699011</v>
      </c>
      <c r="Q25" s="62">
        <f t="shared" si="12"/>
        <v>751.81866780699011</v>
      </c>
      <c r="R25" s="62">
        <f t="shared" si="12"/>
        <v>751.81866780699011</v>
      </c>
      <c r="S25" s="62">
        <f t="shared" si="12"/>
        <v>751.81866780699011</v>
      </c>
      <c r="T25" s="62">
        <f t="shared" si="12"/>
        <v>751.81866780699011</v>
      </c>
      <c r="U25" s="62">
        <f t="shared" si="12"/>
        <v>751.81866780699011</v>
      </c>
      <c r="V25" s="62">
        <f>U25/2</f>
        <v>375.90933390349505</v>
      </c>
      <c r="W25" s="62">
        <v>0</v>
      </c>
      <c r="X25" s="62">
        <v>0</v>
      </c>
      <c r="Y25" s="62">
        <v>0</v>
      </c>
      <c r="Z25" s="62">
        <v>0</v>
      </c>
      <c r="AA25" s="62">
        <v>0</v>
      </c>
      <c r="AB25" s="62">
        <v>0</v>
      </c>
      <c r="AC25" s="62">
        <v>0</v>
      </c>
      <c r="AD25" s="62">
        <v>0</v>
      </c>
      <c r="AE25" s="62">
        <v>0</v>
      </c>
      <c r="AF25" s="62">
        <f>0</f>
        <v>0</v>
      </c>
      <c r="AG25" s="24"/>
    </row>
    <row r="26" spans="2:34" x14ac:dyDescent="0.25">
      <c r="B26" s="274">
        <v>2030</v>
      </c>
      <c r="C26" s="48">
        <f>M7</f>
        <v>104.35984000000001</v>
      </c>
      <c r="D26" s="93">
        <f>NPV($G$15,H26:AF26)+F26+G26</f>
        <v>93.571985878537376</v>
      </c>
      <c r="E26" s="62">
        <f t="shared" ref="E26" si="13">SUM(F26:AF26)</f>
        <v>137.05646764051858</v>
      </c>
      <c r="F26" s="62">
        <v>0</v>
      </c>
      <c r="G26" s="62">
        <v>0</v>
      </c>
      <c r="H26" s="62">
        <v>0</v>
      </c>
      <c r="I26" s="62">
        <v>0</v>
      </c>
      <c r="J26" s="62">
        <v>0</v>
      </c>
      <c r="K26" s="62">
        <v>0</v>
      </c>
      <c r="L26" s="62">
        <v>0</v>
      </c>
      <c r="M26" s="62">
        <f>-PMT(M12/2,M11*2,M7)</f>
        <v>6.8528233820259281</v>
      </c>
      <c r="N26" s="62">
        <f>M26*2</f>
        <v>13.705646764051856</v>
      </c>
      <c r="O26" s="62">
        <f t="shared" si="12"/>
        <v>13.705646764051856</v>
      </c>
      <c r="P26" s="62">
        <f t="shared" si="12"/>
        <v>13.705646764051856</v>
      </c>
      <c r="Q26" s="62">
        <f t="shared" si="12"/>
        <v>13.705646764051856</v>
      </c>
      <c r="R26" s="62">
        <f t="shared" si="12"/>
        <v>13.705646764051856</v>
      </c>
      <c r="S26" s="62">
        <f t="shared" ref="S26" si="14">R26</f>
        <v>13.705646764051856</v>
      </c>
      <c r="T26" s="62">
        <f t="shared" ref="T26" si="15">S26</f>
        <v>13.705646764051856</v>
      </c>
      <c r="U26" s="62">
        <f t="shared" ref="U26" si="16">T26</f>
        <v>13.705646764051856</v>
      </c>
      <c r="V26" s="62">
        <f t="shared" ref="V26" si="17">U26</f>
        <v>13.705646764051856</v>
      </c>
      <c r="W26" s="62">
        <f>V26/2</f>
        <v>6.8528233820259281</v>
      </c>
      <c r="X26" s="62">
        <v>0</v>
      </c>
      <c r="Y26" s="62">
        <v>0</v>
      </c>
      <c r="Z26" s="62">
        <v>0</v>
      </c>
      <c r="AA26" s="62">
        <v>0</v>
      </c>
      <c r="AB26" s="62">
        <v>0</v>
      </c>
      <c r="AC26" s="62">
        <v>0</v>
      </c>
      <c r="AD26" s="62">
        <v>0</v>
      </c>
      <c r="AE26" s="62">
        <v>0</v>
      </c>
      <c r="AF26" s="62">
        <v>0</v>
      </c>
      <c r="AG26" s="24"/>
    </row>
    <row r="27" spans="2:34" x14ac:dyDescent="0.25">
      <c r="B27" s="44"/>
      <c r="C27" s="48"/>
      <c r="D27" s="62"/>
      <c r="E27" s="62"/>
      <c r="F27" s="62"/>
      <c r="G27" s="62"/>
      <c r="H27" s="62"/>
      <c r="I27" s="62"/>
      <c r="J27" s="62"/>
      <c r="K27" s="62"/>
      <c r="L27" s="62"/>
      <c r="M27" s="62"/>
      <c r="N27" s="62"/>
      <c r="O27" s="62"/>
      <c r="P27" s="62"/>
      <c r="Q27" s="62"/>
      <c r="R27" s="62"/>
      <c r="S27" s="62"/>
      <c r="T27" s="62"/>
      <c r="U27" s="62"/>
      <c r="V27" s="62"/>
      <c r="W27" s="62"/>
      <c r="X27" s="62"/>
      <c r="Y27" s="62"/>
      <c r="Z27" s="62"/>
      <c r="AA27" s="62"/>
      <c r="AB27" s="62"/>
      <c r="AC27" s="62"/>
      <c r="AD27" s="62"/>
      <c r="AE27" s="62"/>
      <c r="AF27" s="62"/>
      <c r="AG27" s="24"/>
    </row>
    <row r="28" spans="2:34" x14ac:dyDescent="0.25">
      <c r="B28" s="67" t="s">
        <v>84</v>
      </c>
      <c r="C28" s="68">
        <f>SUM(C20:C27)</f>
        <v>222340.16850947199</v>
      </c>
      <c r="D28" s="68">
        <f>SUM(D20:D27)</f>
        <v>221526.24148696123</v>
      </c>
      <c r="E28" s="68">
        <f>SUM(E20:E27)</f>
        <v>286387.50900009996</v>
      </c>
      <c r="F28" s="68">
        <f t="shared" ref="F28:AF28" si="18">SUM(F20:F25)</f>
        <v>0</v>
      </c>
      <c r="G28" s="68">
        <f t="shared" si="18"/>
        <v>1549.1872059799171</v>
      </c>
      <c r="H28" s="68">
        <f t="shared" si="18"/>
        <v>5874.2602638542739</v>
      </c>
      <c r="I28" s="68">
        <f t="shared" si="18"/>
        <v>10395.302926405056</v>
      </c>
      <c r="J28" s="68">
        <f t="shared" si="18"/>
        <v>16204.555037151664</v>
      </c>
      <c r="K28" s="68">
        <f t="shared" si="18"/>
        <v>24070.938461340444</v>
      </c>
      <c r="L28" s="68">
        <f t="shared" si="18"/>
        <v>28249.135919342454</v>
      </c>
      <c r="M28" s="68">
        <f t="shared" ref="M28:R28" si="19">SUM(M20:M26)</f>
        <v>28631.898076627975</v>
      </c>
      <c r="N28" s="68">
        <f t="shared" si="19"/>
        <v>28638.75090001</v>
      </c>
      <c r="O28" s="68">
        <f t="shared" si="19"/>
        <v>28638.75090001</v>
      </c>
      <c r="P28" s="68">
        <f t="shared" si="19"/>
        <v>28638.75090001</v>
      </c>
      <c r="Q28" s="68">
        <f t="shared" si="19"/>
        <v>27089.563694030083</v>
      </c>
      <c r="R28" s="68">
        <f t="shared" si="19"/>
        <v>22764.490636155726</v>
      </c>
      <c r="S28" s="68">
        <f t="shared" si="18"/>
        <v>18229.742326840893</v>
      </c>
      <c r="T28" s="68">
        <f t="shared" si="18"/>
        <v>12420.490216094284</v>
      </c>
      <c r="U28" s="68">
        <f t="shared" si="18"/>
        <v>4554.1067919055049</v>
      </c>
      <c r="V28" s="68">
        <f t="shared" si="18"/>
        <v>375.90933390349505</v>
      </c>
      <c r="W28" s="68">
        <f t="shared" si="18"/>
        <v>0</v>
      </c>
      <c r="X28" s="68">
        <f>SUM(X20:X26)</f>
        <v>0</v>
      </c>
      <c r="Y28" s="68">
        <f t="shared" si="18"/>
        <v>0</v>
      </c>
      <c r="Z28" s="68">
        <f t="shared" si="18"/>
        <v>0</v>
      </c>
      <c r="AA28" s="68">
        <f t="shared" si="18"/>
        <v>0</v>
      </c>
      <c r="AB28" s="68">
        <f t="shared" si="18"/>
        <v>0</v>
      </c>
      <c r="AC28" s="68">
        <f t="shared" si="18"/>
        <v>0</v>
      </c>
      <c r="AD28" s="68">
        <f t="shared" si="18"/>
        <v>0</v>
      </c>
      <c r="AE28" s="68">
        <f t="shared" si="18"/>
        <v>0</v>
      </c>
      <c r="AF28" s="68">
        <f t="shared" si="18"/>
        <v>0</v>
      </c>
      <c r="AG28" s="24"/>
    </row>
    <row r="29" spans="2:34" x14ac:dyDescent="0.25">
      <c r="B29" s="44"/>
      <c r="C29" s="68"/>
      <c r="D29" s="68"/>
      <c r="E29" s="68"/>
      <c r="F29" s="68"/>
      <c r="G29" s="68"/>
      <c r="H29" s="68"/>
      <c r="I29" s="68"/>
      <c r="J29" s="68"/>
      <c r="K29" s="68"/>
      <c r="L29" s="68"/>
      <c r="M29" s="68"/>
      <c r="N29" s="68"/>
      <c r="O29" s="68"/>
      <c r="P29" s="68"/>
      <c r="Q29" s="68"/>
      <c r="R29" s="68"/>
      <c r="S29" s="68"/>
      <c r="T29" s="68"/>
      <c r="U29" s="68"/>
      <c r="V29" s="68"/>
      <c r="W29" s="68"/>
      <c r="X29" s="68"/>
      <c r="Y29" s="68"/>
      <c r="Z29" s="68"/>
      <c r="AA29" s="68"/>
      <c r="AB29" s="68"/>
      <c r="AC29" s="68"/>
      <c r="AD29" s="68"/>
      <c r="AE29" s="68"/>
      <c r="AF29" s="68"/>
      <c r="AG29" s="24"/>
    </row>
    <row r="30" spans="2:34" ht="14.5" x14ac:dyDescent="0.55000000000000004">
      <c r="B30" s="67" t="s">
        <v>192</v>
      </c>
      <c r="C30" s="140">
        <f>'Tab 8 - WWTP Historic'!D25</f>
        <v>541457</v>
      </c>
      <c r="D30" s="70">
        <f>NPV(G15,H30:AF30)+F30+G30</f>
        <v>563158.39624503406</v>
      </c>
      <c r="E30" s="71">
        <f>SUM(F30:AF30)</f>
        <v>631101.50714935071</v>
      </c>
      <c r="F30" s="70">
        <f>SUM('Tab 8 - WWTP Historic'!E28:Z28)</f>
        <v>144176.53816</v>
      </c>
      <c r="G30" s="70">
        <f>'Tab 8 - WWTP Historic'!AA28</f>
        <v>52094.044269999991</v>
      </c>
      <c r="H30" s="70">
        <f>'Tab 8 - WWTP Historic'!AB28</f>
        <v>55119.320949999994</v>
      </c>
      <c r="I30" s="70">
        <f>'Tab 8 - WWTP Historic'!AC28</f>
        <v>55827.617949999993</v>
      </c>
      <c r="J30" s="70">
        <f>'Tab 8 - WWTP Historic'!AD28</f>
        <v>56442.131755983777</v>
      </c>
      <c r="K30" s="70">
        <f>'Tab 8 - WWTP Historic'!AE28</f>
        <v>58294.945133935049</v>
      </c>
      <c r="L30" s="70">
        <f>'Tab 8 - WWTP Historic'!AF28</f>
        <v>50760.894603935056</v>
      </c>
      <c r="M30" s="70">
        <f>'Tab 8 - WWTP Historic'!AG28</f>
        <v>44220.947953935072</v>
      </c>
      <c r="N30" s="70">
        <f>'Tab 8 - WWTP Historic'!AH28</f>
        <v>34894.240333935057</v>
      </c>
      <c r="O30" s="70">
        <f>'Tab 8 - WWTP Historic'!AI28</f>
        <v>23435.30384393506</v>
      </c>
      <c r="P30" s="70">
        <f>'Tab 8 - WWTP Historic'!AJ28</f>
        <v>14303.192473935062</v>
      </c>
      <c r="Q30" s="70">
        <f>'Tab 8 - WWTP Historic'!AK28</f>
        <v>9465.0404439350623</v>
      </c>
      <c r="R30" s="70">
        <f>'Tab 8 - WWTP Historic'!AL28</f>
        <v>6402.9304939350632</v>
      </c>
      <c r="S30" s="70">
        <f>'Tab 8 - WWTP Historic'!AM28</f>
        <v>5552.7927339350617</v>
      </c>
      <c r="T30" s="70">
        <f>'Tab 8 - WWTP Historic'!AN28</f>
        <v>4933.3458879512973</v>
      </c>
      <c r="U30" s="70">
        <f>'Tab 8 - WWTP Historic'!AO28</f>
        <v>3075.4533600000004</v>
      </c>
      <c r="V30" s="70">
        <f>'Tab 8 - WWTP Historic'!AP28</f>
        <v>3075.2120399999999</v>
      </c>
      <c r="W30" s="70">
        <f>'Tab 8 - WWTP Historic'!AQ28</f>
        <v>3074.96342</v>
      </c>
      <c r="X30" s="70">
        <f>'Tab 8 - WWTP Historic'!AR28</f>
        <v>3074.70732</v>
      </c>
      <c r="Y30" s="70">
        <f>'Tab 8 - WWTP Historic'!AS28</f>
        <v>2877.88402</v>
      </c>
      <c r="Z30" s="70">
        <f>'Tab 8 - WWTP Historic'!AT28</f>
        <v>0</v>
      </c>
      <c r="AA30" s="70">
        <f>'Tab 8 - WWTP Historic'!AU28</f>
        <v>0</v>
      </c>
      <c r="AB30" s="70">
        <f>'Tab 8 - WWTP Historic'!AV28</f>
        <v>0</v>
      </c>
      <c r="AC30" s="70">
        <f>'Tab 8 - WWTP Historic'!AW28</f>
        <v>0</v>
      </c>
      <c r="AD30" s="70">
        <f>'Tab 8 - WWTP Historic'!AX28</f>
        <v>0</v>
      </c>
      <c r="AE30" s="70">
        <f>'Tab 8 - WWTP Historic'!AY28</f>
        <v>0</v>
      </c>
      <c r="AF30" s="70">
        <f>'Tab 8 - WWTP Historic'!AZ28</f>
        <v>0</v>
      </c>
      <c r="AG30" s="24"/>
    </row>
    <row r="31" spans="2:34" x14ac:dyDescent="0.25">
      <c r="B31" s="67" t="s">
        <v>65</v>
      </c>
      <c r="C31" s="68">
        <f>+C30+C28</f>
        <v>763797.16850947193</v>
      </c>
      <c r="D31" s="68">
        <f>+D30+D28</f>
        <v>784684.63773199532</v>
      </c>
      <c r="E31" s="68">
        <f>+E30+E28</f>
        <v>917489.01614945068</v>
      </c>
      <c r="F31" s="68">
        <f>+F30+F28</f>
        <v>144176.53816</v>
      </c>
      <c r="G31" s="68">
        <f t="shared" ref="G31:AF31" si="20">+G30+G28</f>
        <v>53643.231475979905</v>
      </c>
      <c r="H31" s="68">
        <f t="shared" si="20"/>
        <v>60993.581213854268</v>
      </c>
      <c r="I31" s="68">
        <f t="shared" si="20"/>
        <v>66222.920876405056</v>
      </c>
      <c r="J31" s="68">
        <f t="shared" si="20"/>
        <v>72646.686793135435</v>
      </c>
      <c r="K31" s="68">
        <f t="shared" si="20"/>
        <v>82365.883595275489</v>
      </c>
      <c r="L31" s="68">
        <f t="shared" si="20"/>
        <v>79010.030523277514</v>
      </c>
      <c r="M31" s="68">
        <f t="shared" si="20"/>
        <v>72852.846030563043</v>
      </c>
      <c r="N31" s="68">
        <f t="shared" si="20"/>
        <v>63532.991233945053</v>
      </c>
      <c r="O31" s="68">
        <f t="shared" si="20"/>
        <v>52074.05474394506</v>
      </c>
      <c r="P31" s="68">
        <f t="shared" si="20"/>
        <v>42941.943373945061</v>
      </c>
      <c r="Q31" s="68">
        <f t="shared" si="20"/>
        <v>36554.604137965143</v>
      </c>
      <c r="R31" s="68">
        <f t="shared" si="20"/>
        <v>29167.421130090788</v>
      </c>
      <c r="S31" s="68">
        <f t="shared" si="20"/>
        <v>23782.535060775954</v>
      </c>
      <c r="T31" s="68">
        <f t="shared" si="20"/>
        <v>17353.836104045582</v>
      </c>
      <c r="U31" s="68">
        <f t="shared" si="20"/>
        <v>7629.5601519055053</v>
      </c>
      <c r="V31" s="68">
        <f t="shared" si="20"/>
        <v>3451.1213739034947</v>
      </c>
      <c r="W31" s="68">
        <f t="shared" si="20"/>
        <v>3074.96342</v>
      </c>
      <c r="X31" s="68">
        <f t="shared" si="20"/>
        <v>3074.70732</v>
      </c>
      <c r="Y31" s="68">
        <f t="shared" si="20"/>
        <v>2877.88402</v>
      </c>
      <c r="Z31" s="68">
        <f t="shared" si="20"/>
        <v>0</v>
      </c>
      <c r="AA31" s="68">
        <f t="shared" si="20"/>
        <v>0</v>
      </c>
      <c r="AB31" s="68">
        <f t="shared" si="20"/>
        <v>0</v>
      </c>
      <c r="AC31" s="68">
        <f t="shared" si="20"/>
        <v>0</v>
      </c>
      <c r="AD31" s="68">
        <f t="shared" si="20"/>
        <v>0</v>
      </c>
      <c r="AE31" s="68">
        <f t="shared" si="20"/>
        <v>0</v>
      </c>
      <c r="AF31" s="68">
        <f t="shared" si="20"/>
        <v>0</v>
      </c>
      <c r="AG31" s="24"/>
    </row>
    <row r="32" spans="2:34" x14ac:dyDescent="0.25">
      <c r="B32" s="72"/>
      <c r="C32" s="55"/>
      <c r="D32" s="55"/>
      <c r="E32" s="55"/>
      <c r="F32" s="55"/>
      <c r="G32" s="55"/>
      <c r="H32" s="73"/>
      <c r="I32" s="73"/>
      <c r="J32" s="74"/>
      <c r="K32" s="74"/>
      <c r="L32" s="74"/>
      <c r="M32" s="74"/>
      <c r="N32" s="74"/>
      <c r="O32" s="74"/>
      <c r="P32" s="74"/>
      <c r="Q32" s="74"/>
      <c r="R32" s="74"/>
      <c r="S32" s="74"/>
      <c r="T32" s="74"/>
      <c r="U32" s="74"/>
      <c r="V32" s="74"/>
      <c r="W32" s="74"/>
      <c r="X32" s="74"/>
      <c r="Y32" s="74"/>
      <c r="Z32" s="74"/>
      <c r="AA32" s="74"/>
      <c r="AB32" s="74"/>
      <c r="AC32" s="74"/>
      <c r="AD32" s="74"/>
      <c r="AE32" s="74"/>
      <c r="AF32" s="74"/>
      <c r="AG32" s="75"/>
    </row>
    <row r="33" spans="2:33" x14ac:dyDescent="0.25">
      <c r="E33" s="48"/>
    </row>
    <row r="34" spans="2:33" x14ac:dyDescent="0.25">
      <c r="B34" s="76" t="s">
        <v>193</v>
      </c>
      <c r="C34" s="77"/>
      <c r="D34" s="40"/>
      <c r="E34" s="40"/>
      <c r="F34" s="40"/>
      <c r="G34" s="40"/>
      <c r="H34" s="78"/>
      <c r="I34" s="78"/>
      <c r="J34" s="78"/>
      <c r="K34" s="78"/>
      <c r="L34" s="78"/>
      <c r="M34" s="78"/>
      <c r="N34" s="78"/>
      <c r="O34" s="78"/>
      <c r="P34" s="78"/>
      <c r="Q34" s="78"/>
      <c r="R34" s="78"/>
      <c r="S34" s="78"/>
      <c r="T34" s="78"/>
      <c r="U34" s="78"/>
      <c r="V34" s="78"/>
      <c r="W34" s="78"/>
      <c r="X34" s="78"/>
      <c r="Y34" s="78"/>
      <c r="Z34" s="78"/>
      <c r="AA34" s="78"/>
      <c r="AB34" s="78"/>
      <c r="AC34" s="78"/>
      <c r="AD34" s="78"/>
      <c r="AE34" s="78"/>
      <c r="AF34" s="78"/>
      <c r="AG34" s="79"/>
    </row>
    <row r="35" spans="2:33" ht="23" x14ac:dyDescent="0.25">
      <c r="B35" s="403" t="s">
        <v>81</v>
      </c>
      <c r="C35" s="60" t="s">
        <v>69</v>
      </c>
      <c r="D35" s="60" t="s">
        <v>191</v>
      </c>
      <c r="E35" s="60" t="s">
        <v>83</v>
      </c>
      <c r="F35" s="61" t="str">
        <f>F4</f>
        <v>2023 &amp; Prior</v>
      </c>
      <c r="G35" s="61">
        <f t="shared" ref="G35:AF35" si="21">G4</f>
        <v>2024</v>
      </c>
      <c r="H35" s="61">
        <f t="shared" si="21"/>
        <v>2025</v>
      </c>
      <c r="I35" s="61">
        <f t="shared" si="21"/>
        <v>2026</v>
      </c>
      <c r="J35" s="61">
        <f t="shared" si="21"/>
        <v>2027</v>
      </c>
      <c r="K35" s="61">
        <f t="shared" si="21"/>
        <v>2028</v>
      </c>
      <c r="L35" s="61">
        <f t="shared" si="21"/>
        <v>2029</v>
      </c>
      <c r="M35" s="61">
        <f t="shared" si="21"/>
        <v>2030</v>
      </c>
      <c r="N35" s="61">
        <f t="shared" si="21"/>
        <v>2031</v>
      </c>
      <c r="O35" s="61">
        <f t="shared" si="21"/>
        <v>2032</v>
      </c>
      <c r="P35" s="61">
        <f t="shared" si="21"/>
        <v>2033</v>
      </c>
      <c r="Q35" s="61">
        <f t="shared" si="21"/>
        <v>2034</v>
      </c>
      <c r="R35" s="61">
        <f t="shared" si="21"/>
        <v>2035</v>
      </c>
      <c r="S35" s="61">
        <f t="shared" si="21"/>
        <v>2036</v>
      </c>
      <c r="T35" s="61">
        <f t="shared" si="21"/>
        <v>2037</v>
      </c>
      <c r="U35" s="61">
        <f t="shared" si="21"/>
        <v>2038</v>
      </c>
      <c r="V35" s="61">
        <f t="shared" si="21"/>
        <v>2039</v>
      </c>
      <c r="W35" s="61">
        <f t="shared" si="21"/>
        <v>2040</v>
      </c>
      <c r="X35" s="61">
        <f t="shared" si="21"/>
        <v>2041</v>
      </c>
      <c r="Y35" s="61">
        <f t="shared" si="21"/>
        <v>2042</v>
      </c>
      <c r="Z35" s="61">
        <f t="shared" si="21"/>
        <v>2043</v>
      </c>
      <c r="AA35" s="61">
        <f t="shared" si="21"/>
        <v>2044</v>
      </c>
      <c r="AB35" s="61">
        <f t="shared" si="21"/>
        <v>2045</v>
      </c>
      <c r="AC35" s="61">
        <f t="shared" si="21"/>
        <v>2046</v>
      </c>
      <c r="AD35" s="61">
        <f t="shared" si="21"/>
        <v>2047</v>
      </c>
      <c r="AE35" s="61">
        <f t="shared" si="21"/>
        <v>2048</v>
      </c>
      <c r="AF35" s="61">
        <f t="shared" si="21"/>
        <v>2049</v>
      </c>
      <c r="AG35" s="38"/>
    </row>
    <row r="36" spans="2:33" x14ac:dyDescent="0.25">
      <c r="B36" s="404"/>
      <c r="AG36" s="45"/>
    </row>
    <row r="37" spans="2:33" x14ac:dyDescent="0.25">
      <c r="B37" s="274">
        <v>2024</v>
      </c>
      <c r="C37" s="48">
        <f>G8</f>
        <v>218.23299056000005</v>
      </c>
      <c r="D37" s="62">
        <f>NPV($G$15,H38:AF38)+F38+G38</f>
        <v>925.74796250159818</v>
      </c>
      <c r="E37" s="62">
        <f>SUM(F38:AF38)</f>
        <v>1137.2787367796707</v>
      </c>
      <c r="F37" s="62">
        <v>0</v>
      </c>
      <c r="G37" s="62">
        <f>-PMT(G12/2,G11*2,G8)</f>
        <v>13.979333478996725</v>
      </c>
      <c r="H37" s="62">
        <f>G37*2</f>
        <v>27.958666957993451</v>
      </c>
      <c r="I37" s="62">
        <f>H37</f>
        <v>27.958666957993451</v>
      </c>
      <c r="J37" s="62">
        <f t="shared" ref="J37:M38" si="22">+I37</f>
        <v>27.958666957993451</v>
      </c>
      <c r="K37" s="62">
        <f t="shared" si="22"/>
        <v>27.958666957993451</v>
      </c>
      <c r="L37" s="62">
        <f t="shared" si="22"/>
        <v>27.958666957993451</v>
      </c>
      <c r="M37" s="62">
        <f t="shared" si="22"/>
        <v>27.958666957993451</v>
      </c>
      <c r="N37" s="62">
        <f t="shared" ref="N37" si="23">+M37</f>
        <v>27.958666957993451</v>
      </c>
      <c r="O37" s="62">
        <f t="shared" ref="O37" si="24">+N37</f>
        <v>27.958666957993451</v>
      </c>
      <c r="P37" s="62">
        <f t="shared" ref="P37" si="25">+O37</f>
        <v>27.958666957993451</v>
      </c>
      <c r="Q37" s="62">
        <f>P37/2</f>
        <v>13.979333478996725</v>
      </c>
      <c r="R37" s="62">
        <v>0</v>
      </c>
      <c r="S37" s="62">
        <v>0</v>
      </c>
      <c r="T37" s="62">
        <v>0</v>
      </c>
      <c r="U37" s="62">
        <v>0</v>
      </c>
      <c r="V37" s="62">
        <v>0</v>
      </c>
      <c r="W37" s="62">
        <v>0</v>
      </c>
      <c r="X37" s="62">
        <v>0</v>
      </c>
      <c r="Y37" s="62">
        <v>0</v>
      </c>
      <c r="Z37" s="62">
        <v>0</v>
      </c>
      <c r="AA37" s="62">
        <v>0</v>
      </c>
      <c r="AB37" s="62">
        <v>0</v>
      </c>
      <c r="AC37" s="62">
        <v>0</v>
      </c>
      <c r="AD37" s="62">
        <v>0</v>
      </c>
      <c r="AE37" s="62">
        <v>0</v>
      </c>
      <c r="AF37" s="62">
        <v>0</v>
      </c>
      <c r="AG37" s="24"/>
    </row>
    <row r="38" spans="2:33" x14ac:dyDescent="0.25">
      <c r="B38" s="274">
        <v>2025</v>
      </c>
      <c r="C38" s="48">
        <f>H8</f>
        <v>889.92025824000007</v>
      </c>
      <c r="D38" s="62">
        <f t="shared" ref="D38:D49" si="26">NPV($G$15,H39:AF39)+F39+G39</f>
        <v>685.38251680414828</v>
      </c>
      <c r="E38" s="62">
        <f t="shared" ref="E38:E49" si="27">SUM(F39:AF39)</f>
        <v>872.13372980348629</v>
      </c>
      <c r="F38" s="62">
        <v>0</v>
      </c>
      <c r="G38" s="62">
        <v>0</v>
      </c>
      <c r="H38" s="62">
        <f>-PMT($H$12/2,$H$11*2,H8)</f>
        <v>56.863936838983534</v>
      </c>
      <c r="I38" s="62">
        <f>+H38*2</f>
        <v>113.72787367796707</v>
      </c>
      <c r="J38" s="62">
        <f t="shared" si="22"/>
        <v>113.72787367796707</v>
      </c>
      <c r="K38" s="62">
        <f t="shared" si="22"/>
        <v>113.72787367796707</v>
      </c>
      <c r="L38" s="62">
        <f t="shared" si="22"/>
        <v>113.72787367796707</v>
      </c>
      <c r="M38" s="62">
        <f t="shared" si="22"/>
        <v>113.72787367796707</v>
      </c>
      <c r="N38" s="62">
        <f t="shared" ref="N38:N42" si="28">+M38</f>
        <v>113.72787367796707</v>
      </c>
      <c r="O38" s="62">
        <f t="shared" ref="O38:O43" si="29">+N38</f>
        <v>113.72787367796707</v>
      </c>
      <c r="P38" s="62">
        <f t="shared" ref="P38:P44" si="30">+O38</f>
        <v>113.72787367796707</v>
      </c>
      <c r="Q38" s="62">
        <f t="shared" ref="Q38:Q45" si="31">+P38</f>
        <v>113.72787367796707</v>
      </c>
      <c r="R38" s="62">
        <f>+Q38/2</f>
        <v>56.863936838983534</v>
      </c>
      <c r="S38" s="62">
        <v>0</v>
      </c>
      <c r="T38" s="62">
        <v>0</v>
      </c>
      <c r="U38" s="62">
        <v>0</v>
      </c>
      <c r="V38" s="62">
        <v>0</v>
      </c>
      <c r="W38" s="62">
        <v>0</v>
      </c>
      <c r="X38" s="62">
        <v>0</v>
      </c>
      <c r="Y38" s="62">
        <v>0</v>
      </c>
      <c r="Z38" s="62">
        <v>0</v>
      </c>
      <c r="AA38" s="62">
        <v>0</v>
      </c>
      <c r="AB38" s="62">
        <v>0</v>
      </c>
      <c r="AC38" s="62">
        <v>0</v>
      </c>
      <c r="AD38" s="62">
        <v>0</v>
      </c>
      <c r="AE38" s="62">
        <v>0</v>
      </c>
      <c r="AF38" s="62">
        <v>0</v>
      </c>
      <c r="AG38" s="24"/>
    </row>
    <row r="39" spans="2:33" x14ac:dyDescent="0.25">
      <c r="B39" s="274">
        <v>2026</v>
      </c>
      <c r="C39" s="48">
        <f>I8</f>
        <v>680.66859743999998</v>
      </c>
      <c r="D39" s="62">
        <f t="shared" si="26"/>
        <v>10810.818729175682</v>
      </c>
      <c r="E39" s="62">
        <f t="shared" si="27"/>
        <v>14249.005471994204</v>
      </c>
      <c r="F39" s="62">
        <f>0</f>
        <v>0</v>
      </c>
      <c r="G39" s="62">
        <v>0</v>
      </c>
      <c r="H39" s="62">
        <v>0</v>
      </c>
      <c r="I39" s="62">
        <f>-PMT($I$12/2,$I$11*2,I8)</f>
        <v>43.606686490174319</v>
      </c>
      <c r="J39" s="62">
        <f>+I39*2</f>
        <v>87.213372980348637</v>
      </c>
      <c r="K39" s="62">
        <f>+J39</f>
        <v>87.213372980348637</v>
      </c>
      <c r="L39" s="62">
        <f>+K39</f>
        <v>87.213372980348637</v>
      </c>
      <c r="M39" s="62">
        <f>+L39</f>
        <v>87.213372980348637</v>
      </c>
      <c r="N39" s="62">
        <f t="shared" si="28"/>
        <v>87.213372980348637</v>
      </c>
      <c r="O39" s="62">
        <f t="shared" si="29"/>
        <v>87.213372980348637</v>
      </c>
      <c r="P39" s="62">
        <f t="shared" si="30"/>
        <v>87.213372980348637</v>
      </c>
      <c r="Q39" s="62">
        <f t="shared" si="31"/>
        <v>87.213372980348637</v>
      </c>
      <c r="R39" s="62">
        <f t="shared" ref="R39:R46" si="32">+Q39</f>
        <v>87.213372980348637</v>
      </c>
      <c r="S39" s="62">
        <f>+R39/2</f>
        <v>43.606686490174319</v>
      </c>
      <c r="T39" s="62">
        <v>0</v>
      </c>
      <c r="U39" s="62">
        <v>0</v>
      </c>
      <c r="V39" s="62">
        <v>0</v>
      </c>
      <c r="W39" s="62">
        <v>0</v>
      </c>
      <c r="X39" s="62">
        <v>0</v>
      </c>
      <c r="Y39" s="62">
        <v>0</v>
      </c>
      <c r="Z39" s="62">
        <v>0</v>
      </c>
      <c r="AA39" s="62">
        <v>0</v>
      </c>
      <c r="AB39" s="62">
        <v>0</v>
      </c>
      <c r="AC39" s="62">
        <v>0</v>
      </c>
      <c r="AD39" s="62">
        <v>0</v>
      </c>
      <c r="AE39" s="62">
        <v>0</v>
      </c>
      <c r="AF39" s="62">
        <v>0</v>
      </c>
      <c r="AG39" s="24"/>
    </row>
    <row r="40" spans="2:33" x14ac:dyDescent="0.25">
      <c r="B40" s="274">
        <v>2027</v>
      </c>
      <c r="C40" s="48">
        <f>J8</f>
        <v>11057.605399360002</v>
      </c>
      <c r="D40" s="62">
        <f t="shared" si="26"/>
        <v>12853.395798213047</v>
      </c>
      <c r="E40" s="62">
        <f t="shared" si="27"/>
        <v>17547.682007035688</v>
      </c>
      <c r="F40" s="62">
        <v>0</v>
      </c>
      <c r="G40" s="62">
        <v>0</v>
      </c>
      <c r="H40" s="62">
        <v>0</v>
      </c>
      <c r="I40" s="62">
        <v>0</v>
      </c>
      <c r="J40" s="62">
        <f>-PMT($J$12/2,$J$11*2,J8)</f>
        <v>712.45027359971004</v>
      </c>
      <c r="K40" s="62">
        <f>+J40*2</f>
        <v>1424.9005471994201</v>
      </c>
      <c r="L40" s="62">
        <f>+K40</f>
        <v>1424.9005471994201</v>
      </c>
      <c r="M40" s="62">
        <f>+L40</f>
        <v>1424.9005471994201</v>
      </c>
      <c r="N40" s="62">
        <f t="shared" si="28"/>
        <v>1424.9005471994201</v>
      </c>
      <c r="O40" s="62">
        <f t="shared" si="29"/>
        <v>1424.9005471994201</v>
      </c>
      <c r="P40" s="62">
        <f t="shared" si="30"/>
        <v>1424.9005471994201</v>
      </c>
      <c r="Q40" s="62">
        <f t="shared" si="31"/>
        <v>1424.9005471994201</v>
      </c>
      <c r="R40" s="62">
        <f t="shared" si="32"/>
        <v>1424.9005471994201</v>
      </c>
      <c r="S40" s="62">
        <f t="shared" ref="S40:S47" si="33">+R40</f>
        <v>1424.9005471994201</v>
      </c>
      <c r="T40" s="62">
        <f>+S40/2</f>
        <v>712.45027359971004</v>
      </c>
      <c r="U40" s="62">
        <v>0</v>
      </c>
      <c r="V40" s="62">
        <v>0</v>
      </c>
      <c r="W40" s="62">
        <v>0</v>
      </c>
      <c r="X40" s="62">
        <v>0</v>
      </c>
      <c r="Y40" s="62">
        <v>0</v>
      </c>
      <c r="Z40" s="62">
        <v>0</v>
      </c>
      <c r="AA40" s="62">
        <v>0</v>
      </c>
      <c r="AB40" s="62">
        <v>0</v>
      </c>
      <c r="AC40" s="62">
        <v>0</v>
      </c>
      <c r="AD40" s="62">
        <v>0</v>
      </c>
      <c r="AE40" s="62">
        <v>0</v>
      </c>
      <c r="AF40" s="62">
        <v>0</v>
      </c>
      <c r="AG40" s="24"/>
    </row>
    <row r="41" spans="2:33" x14ac:dyDescent="0.25">
      <c r="B41" s="274">
        <v>2028</v>
      </c>
      <c r="C41" s="48">
        <f>K8</f>
        <v>13507.14031056</v>
      </c>
      <c r="D41" s="62">
        <f t="shared" si="26"/>
        <v>4448.1612303114862</v>
      </c>
      <c r="E41" s="62">
        <f t="shared" si="27"/>
        <v>6290.1108895512843</v>
      </c>
      <c r="F41" s="62">
        <f>0</f>
        <v>0</v>
      </c>
      <c r="G41" s="62">
        <v>0</v>
      </c>
      <c r="H41" s="62">
        <v>0</v>
      </c>
      <c r="I41" s="62">
        <v>0</v>
      </c>
      <c r="J41" s="62">
        <v>0</v>
      </c>
      <c r="K41" s="62">
        <f>-PMT($K$12/2,$K$11*2,K8)</f>
        <v>877.38410035178435</v>
      </c>
      <c r="L41" s="62">
        <f>+K41*2</f>
        <v>1754.7682007035687</v>
      </c>
      <c r="M41" s="62">
        <f>+L41</f>
        <v>1754.7682007035687</v>
      </c>
      <c r="N41" s="62">
        <f t="shared" si="28"/>
        <v>1754.7682007035687</v>
      </c>
      <c r="O41" s="62">
        <f t="shared" si="29"/>
        <v>1754.7682007035687</v>
      </c>
      <c r="P41" s="62">
        <f t="shared" si="30"/>
        <v>1754.7682007035687</v>
      </c>
      <c r="Q41" s="62">
        <f t="shared" si="31"/>
        <v>1754.7682007035687</v>
      </c>
      <c r="R41" s="62">
        <f t="shared" si="32"/>
        <v>1754.7682007035687</v>
      </c>
      <c r="S41" s="62">
        <f t="shared" si="33"/>
        <v>1754.7682007035687</v>
      </c>
      <c r="T41" s="62">
        <f t="shared" ref="T41:T48" si="34">+S41</f>
        <v>1754.7682007035687</v>
      </c>
      <c r="U41" s="62">
        <f>+T41/2</f>
        <v>877.38410035178435</v>
      </c>
      <c r="V41" s="62">
        <v>0</v>
      </c>
      <c r="W41" s="62">
        <v>0</v>
      </c>
      <c r="X41" s="62">
        <v>0</v>
      </c>
      <c r="Y41" s="62">
        <v>0</v>
      </c>
      <c r="Z41" s="62">
        <v>0</v>
      </c>
      <c r="AA41" s="62">
        <v>0</v>
      </c>
      <c r="AB41" s="62">
        <v>0</v>
      </c>
      <c r="AC41" s="62">
        <v>0</v>
      </c>
      <c r="AD41" s="62">
        <v>0</v>
      </c>
      <c r="AE41" s="62">
        <v>0</v>
      </c>
      <c r="AF41" s="62">
        <v>0</v>
      </c>
      <c r="AG41" s="24"/>
    </row>
    <row r="42" spans="2:33" x14ac:dyDescent="0.25">
      <c r="B42" s="274">
        <v>2029</v>
      </c>
      <c r="C42" s="48">
        <f>L8</f>
        <v>4815.541800160001</v>
      </c>
      <c r="D42" s="62">
        <f t="shared" si="26"/>
        <v>18345.83822565827</v>
      </c>
      <c r="E42" s="62">
        <f t="shared" si="27"/>
        <v>26871.459011001425</v>
      </c>
      <c r="F42" s="62">
        <v>0</v>
      </c>
      <c r="G42" s="62">
        <v>0</v>
      </c>
      <c r="H42" s="62">
        <v>0</v>
      </c>
      <c r="I42" s="62">
        <v>0</v>
      </c>
      <c r="J42" s="62">
        <v>0</v>
      </c>
      <c r="K42" s="62">
        <v>0</v>
      </c>
      <c r="L42" s="62">
        <f>-PMT($L$12/2,$L$11*2,L8)</f>
        <v>314.50554447756417</v>
      </c>
      <c r="M42" s="62">
        <f>+L42*2</f>
        <v>629.01108895512834</v>
      </c>
      <c r="N42" s="62">
        <f t="shared" si="28"/>
        <v>629.01108895512834</v>
      </c>
      <c r="O42" s="62">
        <f t="shared" si="29"/>
        <v>629.01108895512834</v>
      </c>
      <c r="P42" s="62">
        <f t="shared" si="30"/>
        <v>629.01108895512834</v>
      </c>
      <c r="Q42" s="62">
        <f t="shared" si="31"/>
        <v>629.01108895512834</v>
      </c>
      <c r="R42" s="62">
        <f t="shared" si="32"/>
        <v>629.01108895512834</v>
      </c>
      <c r="S42" s="62">
        <f t="shared" si="33"/>
        <v>629.01108895512834</v>
      </c>
      <c r="T42" s="62">
        <f t="shared" si="34"/>
        <v>629.01108895512834</v>
      </c>
      <c r="U42" s="62">
        <f t="shared" ref="U42:U49" si="35">+T42</f>
        <v>629.01108895512834</v>
      </c>
      <c r="V42" s="62">
        <f>+U42/2</f>
        <v>314.50554447756417</v>
      </c>
      <c r="W42" s="62">
        <v>0</v>
      </c>
      <c r="X42" s="62">
        <v>0</v>
      </c>
      <c r="Y42" s="62">
        <v>0</v>
      </c>
      <c r="Z42" s="62">
        <v>0</v>
      </c>
      <c r="AA42" s="62">
        <v>0</v>
      </c>
      <c r="AB42" s="62">
        <v>0</v>
      </c>
      <c r="AC42" s="62">
        <v>0</v>
      </c>
      <c r="AD42" s="62">
        <v>0</v>
      </c>
      <c r="AE42" s="62">
        <v>0</v>
      </c>
      <c r="AF42" s="62">
        <v>0</v>
      </c>
      <c r="AG42" s="24"/>
    </row>
    <row r="43" spans="2:33" x14ac:dyDescent="0.25">
      <c r="B43" s="274">
        <v>2030</v>
      </c>
      <c r="C43" s="48">
        <f>M8</f>
        <v>20460.918125440003</v>
      </c>
      <c r="D43" s="62">
        <f t="shared" si="26"/>
        <v>22737.968799897448</v>
      </c>
      <c r="E43" s="62">
        <f t="shared" si="27"/>
        <v>34496.994610636866</v>
      </c>
      <c r="F43" s="62">
        <v>0</v>
      </c>
      <c r="G43" s="62">
        <v>0</v>
      </c>
      <c r="H43" s="62">
        <v>0</v>
      </c>
      <c r="I43" s="62">
        <v>0</v>
      </c>
      <c r="J43" s="62">
        <v>0</v>
      </c>
      <c r="K43" s="62">
        <v>0</v>
      </c>
      <c r="L43" s="62">
        <v>0</v>
      </c>
      <c r="M43" s="62">
        <f>-PMT($M$12/2,$M$11*2,M8)</f>
        <v>1343.5729505500713</v>
      </c>
      <c r="N43" s="62">
        <f>+M43*2</f>
        <v>2687.1459011001425</v>
      </c>
      <c r="O43" s="62">
        <f t="shared" si="29"/>
        <v>2687.1459011001425</v>
      </c>
      <c r="P43" s="62">
        <f t="shared" si="30"/>
        <v>2687.1459011001425</v>
      </c>
      <c r="Q43" s="62">
        <f t="shared" si="31"/>
        <v>2687.1459011001425</v>
      </c>
      <c r="R43" s="62">
        <f t="shared" si="32"/>
        <v>2687.1459011001425</v>
      </c>
      <c r="S43" s="62">
        <f t="shared" si="33"/>
        <v>2687.1459011001425</v>
      </c>
      <c r="T43" s="62">
        <f t="shared" si="34"/>
        <v>2687.1459011001425</v>
      </c>
      <c r="U43" s="62">
        <f t="shared" si="35"/>
        <v>2687.1459011001425</v>
      </c>
      <c r="V43" s="62">
        <f t="shared" ref="V43:V50" si="36">+U43</f>
        <v>2687.1459011001425</v>
      </c>
      <c r="W43" s="62">
        <f>+V43/2</f>
        <v>1343.5729505500713</v>
      </c>
      <c r="X43" s="62">
        <v>0</v>
      </c>
      <c r="Y43" s="62">
        <v>0</v>
      </c>
      <c r="Z43" s="62">
        <v>0</v>
      </c>
      <c r="AA43" s="62">
        <v>0</v>
      </c>
      <c r="AB43" s="62">
        <v>0</v>
      </c>
      <c r="AC43" s="62">
        <v>0</v>
      </c>
      <c r="AD43" s="62">
        <v>0</v>
      </c>
      <c r="AE43" s="62">
        <v>0</v>
      </c>
      <c r="AF43" s="62">
        <v>0</v>
      </c>
      <c r="AG43" s="24"/>
    </row>
    <row r="44" spans="2:33" x14ac:dyDescent="0.25">
      <c r="B44" s="274">
        <v>2031</v>
      </c>
      <c r="C44" s="48">
        <f>N8</f>
        <v>26184.986112479997</v>
      </c>
      <c r="D44" s="62">
        <f t="shared" si="26"/>
        <v>36165.002364898857</v>
      </c>
      <c r="E44" s="62">
        <f t="shared" si="27"/>
        <v>56832.138629876194</v>
      </c>
      <c r="F44" s="62">
        <v>0</v>
      </c>
      <c r="G44" s="62">
        <v>0</v>
      </c>
      <c r="H44" s="62">
        <v>0</v>
      </c>
      <c r="I44" s="62">
        <v>0</v>
      </c>
      <c r="J44" s="62">
        <v>0</v>
      </c>
      <c r="K44" s="62">
        <v>0</v>
      </c>
      <c r="L44" s="62">
        <v>0</v>
      </c>
      <c r="M44" s="62">
        <v>0</v>
      </c>
      <c r="N44" s="62">
        <f>-PMT($N$12/2,$N$11*2,N8)</f>
        <v>1724.8497305318429</v>
      </c>
      <c r="O44" s="62">
        <f>+N44*2</f>
        <v>3449.6994610636857</v>
      </c>
      <c r="P44" s="62">
        <f t="shared" si="30"/>
        <v>3449.6994610636857</v>
      </c>
      <c r="Q44" s="62">
        <f t="shared" si="31"/>
        <v>3449.6994610636857</v>
      </c>
      <c r="R44" s="62">
        <f t="shared" si="32"/>
        <v>3449.6994610636857</v>
      </c>
      <c r="S44" s="62">
        <f t="shared" si="33"/>
        <v>3449.6994610636857</v>
      </c>
      <c r="T44" s="62">
        <f t="shared" si="34"/>
        <v>3449.6994610636857</v>
      </c>
      <c r="U44" s="62">
        <f t="shared" si="35"/>
        <v>3449.6994610636857</v>
      </c>
      <c r="V44" s="62">
        <f t="shared" si="36"/>
        <v>3449.6994610636857</v>
      </c>
      <c r="W44" s="62">
        <f>+V44</f>
        <v>3449.6994610636857</v>
      </c>
      <c r="X44" s="62">
        <f>+W44/2</f>
        <v>1724.8497305318429</v>
      </c>
      <c r="Y44" s="62">
        <v>0</v>
      </c>
      <c r="Z44" s="62">
        <v>0</v>
      </c>
      <c r="AA44" s="62">
        <v>0</v>
      </c>
      <c r="AB44" s="62">
        <v>0</v>
      </c>
      <c r="AC44" s="62">
        <v>0</v>
      </c>
      <c r="AD44" s="62">
        <v>0</v>
      </c>
      <c r="AE44" s="62">
        <v>0</v>
      </c>
      <c r="AF44" s="62">
        <v>0</v>
      </c>
      <c r="AG44" s="24"/>
    </row>
    <row r="45" spans="2:33" x14ac:dyDescent="0.25">
      <c r="B45" s="274">
        <v>2032</v>
      </c>
      <c r="C45" s="48">
        <f>O8</f>
        <v>43018.97872064</v>
      </c>
      <c r="D45" s="62">
        <f t="shared" si="26"/>
        <v>53075.036318511353</v>
      </c>
      <c r="E45" s="62">
        <f t="shared" si="27"/>
        <v>86391.637924891853</v>
      </c>
      <c r="F45" s="62">
        <v>0</v>
      </c>
      <c r="G45" s="62">
        <v>0</v>
      </c>
      <c r="H45" s="62">
        <v>0</v>
      </c>
      <c r="I45" s="62">
        <v>0</v>
      </c>
      <c r="J45" s="62">
        <v>0</v>
      </c>
      <c r="K45" s="62">
        <v>0</v>
      </c>
      <c r="L45" s="62">
        <v>0</v>
      </c>
      <c r="M45" s="62">
        <v>0</v>
      </c>
      <c r="N45" s="62">
        <v>0</v>
      </c>
      <c r="O45" s="62">
        <f>-PMT($O$12/2,$O$11*2,O8)</f>
        <v>2841.6069314938095</v>
      </c>
      <c r="P45" s="62">
        <f>+O45*2</f>
        <v>5683.213862987619</v>
      </c>
      <c r="Q45" s="62">
        <f t="shared" si="31"/>
        <v>5683.213862987619</v>
      </c>
      <c r="R45" s="62">
        <f t="shared" si="32"/>
        <v>5683.213862987619</v>
      </c>
      <c r="S45" s="62">
        <f t="shared" si="33"/>
        <v>5683.213862987619</v>
      </c>
      <c r="T45" s="62">
        <f t="shared" si="34"/>
        <v>5683.213862987619</v>
      </c>
      <c r="U45" s="62">
        <f t="shared" si="35"/>
        <v>5683.213862987619</v>
      </c>
      <c r="V45" s="62">
        <f t="shared" si="36"/>
        <v>5683.213862987619</v>
      </c>
      <c r="W45" s="62">
        <f>+V45</f>
        <v>5683.213862987619</v>
      </c>
      <c r="X45" s="62">
        <f>+W45</f>
        <v>5683.213862987619</v>
      </c>
      <c r="Y45" s="62">
        <f>+X45/2</f>
        <v>2841.6069314938095</v>
      </c>
      <c r="Z45" s="62">
        <v>0</v>
      </c>
      <c r="AA45" s="62">
        <v>0</v>
      </c>
      <c r="AB45" s="62">
        <v>0</v>
      </c>
      <c r="AC45" s="62">
        <v>0</v>
      </c>
      <c r="AD45" s="62">
        <v>0</v>
      </c>
      <c r="AE45" s="62">
        <v>0</v>
      </c>
      <c r="AF45" s="62">
        <v>0</v>
      </c>
      <c r="AG45" s="24"/>
    </row>
    <row r="46" spans="2:33" x14ac:dyDescent="0.25">
      <c r="B46" s="274">
        <v>2033</v>
      </c>
      <c r="C46" s="48">
        <f>P8</f>
        <v>65230.026370080006</v>
      </c>
      <c r="D46" s="62">
        <f t="shared" si="26"/>
        <v>52256.190461711136</v>
      </c>
      <c r="E46" s="62">
        <f t="shared" si="27"/>
        <v>88103.885260641051</v>
      </c>
      <c r="F46" s="62">
        <v>0</v>
      </c>
      <c r="G46" s="62">
        <v>0</v>
      </c>
      <c r="H46" s="62">
        <v>0</v>
      </c>
      <c r="I46" s="62">
        <v>0</v>
      </c>
      <c r="J46" s="62">
        <v>0</v>
      </c>
      <c r="K46" s="62">
        <v>0</v>
      </c>
      <c r="L46" s="62">
        <v>0</v>
      </c>
      <c r="M46" s="62">
        <v>0</v>
      </c>
      <c r="N46" s="62">
        <v>0</v>
      </c>
      <c r="O46" s="62">
        <v>0</v>
      </c>
      <c r="P46" s="62">
        <f>-PMT($P$12/2,$P$11*2,P8)</f>
        <v>4319.5818962445928</v>
      </c>
      <c r="Q46" s="62">
        <f>+P46*2</f>
        <v>8639.1637924891857</v>
      </c>
      <c r="R46" s="62">
        <f t="shared" si="32"/>
        <v>8639.1637924891857</v>
      </c>
      <c r="S46" s="62">
        <f t="shared" si="33"/>
        <v>8639.1637924891857</v>
      </c>
      <c r="T46" s="62">
        <f t="shared" si="34"/>
        <v>8639.1637924891857</v>
      </c>
      <c r="U46" s="62">
        <f t="shared" si="35"/>
        <v>8639.1637924891857</v>
      </c>
      <c r="V46" s="62">
        <f t="shared" si="36"/>
        <v>8639.1637924891857</v>
      </c>
      <c r="W46" s="62">
        <f>+V46</f>
        <v>8639.1637924891857</v>
      </c>
      <c r="X46" s="62">
        <f>+W46</f>
        <v>8639.1637924891857</v>
      </c>
      <c r="Y46" s="62">
        <f>+X46</f>
        <v>8639.1637924891857</v>
      </c>
      <c r="Z46" s="62">
        <f>+Y46/2</f>
        <v>4319.5818962445928</v>
      </c>
      <c r="AA46" s="62">
        <v>0</v>
      </c>
      <c r="AB46" s="62">
        <v>0</v>
      </c>
      <c r="AC46" s="62">
        <v>0</v>
      </c>
      <c r="AD46" s="62">
        <v>0</v>
      </c>
      <c r="AE46" s="62">
        <v>0</v>
      </c>
      <c r="AF46" s="62">
        <v>0</v>
      </c>
      <c r="AG46" s="24"/>
    </row>
    <row r="47" spans="2:33" x14ac:dyDescent="0.25">
      <c r="B47" s="274">
        <v>2034</v>
      </c>
      <c r="C47" s="48">
        <f>Q8</f>
        <v>66534.627386240012</v>
      </c>
      <c r="D47" s="62">
        <f t="shared" si="26"/>
        <v>45652.905501877744</v>
      </c>
      <c r="E47" s="62">
        <f t="shared" si="27"/>
        <v>79726.306341998046</v>
      </c>
      <c r="F47" s="62">
        <v>0</v>
      </c>
      <c r="G47" s="62">
        <v>0</v>
      </c>
      <c r="H47" s="62">
        <v>0</v>
      </c>
      <c r="I47" s="62">
        <v>0</v>
      </c>
      <c r="J47" s="62">
        <v>0</v>
      </c>
      <c r="K47" s="62">
        <v>0</v>
      </c>
      <c r="L47" s="62">
        <v>0</v>
      </c>
      <c r="M47" s="62">
        <v>0</v>
      </c>
      <c r="N47" s="62">
        <v>0</v>
      </c>
      <c r="O47" s="62">
        <v>0</v>
      </c>
      <c r="P47" s="62">
        <v>0</v>
      </c>
      <c r="Q47" s="62">
        <f>-PMT(Q12/2,Q11*2,Q8)</f>
        <v>4405.1942630320518</v>
      </c>
      <c r="R47" s="62">
        <f>+Q47*2</f>
        <v>8810.3885260641036</v>
      </c>
      <c r="S47" s="62">
        <f t="shared" si="33"/>
        <v>8810.3885260641036</v>
      </c>
      <c r="T47" s="62">
        <f t="shared" si="34"/>
        <v>8810.3885260641036</v>
      </c>
      <c r="U47" s="62">
        <f t="shared" si="35"/>
        <v>8810.3885260641036</v>
      </c>
      <c r="V47" s="62">
        <f t="shared" si="36"/>
        <v>8810.3885260641036</v>
      </c>
      <c r="W47" s="62">
        <f t="shared" ref="W47:W50" si="37">+V47</f>
        <v>8810.3885260641036</v>
      </c>
      <c r="X47" s="62">
        <f t="shared" ref="X47:X50" si="38">+W47</f>
        <v>8810.3885260641036</v>
      </c>
      <c r="Y47" s="62">
        <f t="shared" ref="Y47:Y50" si="39">+X47</f>
        <v>8810.3885260641036</v>
      </c>
      <c r="Z47" s="62">
        <f t="shared" ref="Z47:Z50" si="40">+Y47</f>
        <v>8810.3885260641036</v>
      </c>
      <c r="AA47" s="62">
        <f>Z47/2</f>
        <v>4405.1942630320518</v>
      </c>
      <c r="AB47" s="62">
        <v>0</v>
      </c>
      <c r="AC47" s="62">
        <v>0</v>
      </c>
      <c r="AD47" s="62">
        <v>0</v>
      </c>
      <c r="AE47" s="62">
        <v>0</v>
      </c>
      <c r="AF47" s="62">
        <v>0</v>
      </c>
      <c r="AG47" s="24"/>
    </row>
    <row r="48" spans="2:33" x14ac:dyDescent="0.25">
      <c r="B48" s="274">
        <v>2035</v>
      </c>
      <c r="C48" s="48">
        <f>R8</f>
        <v>60218.667458559998</v>
      </c>
      <c r="D48" s="62">
        <f t="shared" si="26"/>
        <v>33711.425358973538</v>
      </c>
      <c r="E48" s="62">
        <f t="shared" si="27"/>
        <v>60979.83479079025</v>
      </c>
      <c r="F48" s="62">
        <v>0</v>
      </c>
      <c r="G48" s="62">
        <v>0</v>
      </c>
      <c r="H48" s="62">
        <v>0</v>
      </c>
      <c r="I48" s="62">
        <v>0</v>
      </c>
      <c r="J48" s="62">
        <v>0</v>
      </c>
      <c r="K48" s="62">
        <v>0</v>
      </c>
      <c r="L48" s="62">
        <v>0</v>
      </c>
      <c r="M48" s="62">
        <v>0</v>
      </c>
      <c r="N48" s="62">
        <v>0</v>
      </c>
      <c r="O48" s="62">
        <v>0</v>
      </c>
      <c r="P48" s="62">
        <v>0</v>
      </c>
      <c r="Q48" s="62">
        <v>0</v>
      </c>
      <c r="R48" s="62">
        <f>-PMT(R12/2,R11*2,R8)</f>
        <v>3986.3153170999026</v>
      </c>
      <c r="S48" s="62">
        <f>+R48*2</f>
        <v>7972.6306341998052</v>
      </c>
      <c r="T48" s="62">
        <f t="shared" si="34"/>
        <v>7972.6306341998052</v>
      </c>
      <c r="U48" s="62">
        <f t="shared" si="35"/>
        <v>7972.6306341998052</v>
      </c>
      <c r="V48" s="62">
        <f t="shared" si="36"/>
        <v>7972.6306341998052</v>
      </c>
      <c r="W48" s="62">
        <f t="shared" si="37"/>
        <v>7972.6306341998052</v>
      </c>
      <c r="X48" s="62">
        <f t="shared" si="38"/>
        <v>7972.6306341998052</v>
      </c>
      <c r="Y48" s="62">
        <f t="shared" si="39"/>
        <v>7972.6306341998052</v>
      </c>
      <c r="Z48" s="62">
        <f t="shared" si="40"/>
        <v>7972.6306341998052</v>
      </c>
      <c r="AA48" s="62">
        <f t="shared" ref="AA48:AA50" si="41">+Z48</f>
        <v>7972.6306341998052</v>
      </c>
      <c r="AB48" s="62">
        <f>AA48/2</f>
        <v>3986.3153170999026</v>
      </c>
      <c r="AC48" s="62">
        <v>0</v>
      </c>
      <c r="AD48" s="62">
        <v>0</v>
      </c>
      <c r="AE48" s="62">
        <v>0</v>
      </c>
      <c r="AF48" s="62">
        <v>0</v>
      </c>
      <c r="AG48" s="24"/>
    </row>
    <row r="49" spans="2:33" x14ac:dyDescent="0.25">
      <c r="B49" s="274">
        <v>2036</v>
      </c>
      <c r="C49" s="48">
        <f>S8</f>
        <v>46067.280511199999</v>
      </c>
      <c r="D49" s="62">
        <f t="shared" si="26"/>
        <v>0</v>
      </c>
      <c r="E49" s="62">
        <f t="shared" si="27"/>
        <v>0</v>
      </c>
      <c r="F49" s="62">
        <v>0</v>
      </c>
      <c r="G49" s="62">
        <v>0</v>
      </c>
      <c r="H49" s="62">
        <v>0</v>
      </c>
      <c r="I49" s="62">
        <v>0</v>
      </c>
      <c r="J49" s="62">
        <v>0</v>
      </c>
      <c r="K49" s="62">
        <v>0</v>
      </c>
      <c r="L49" s="62">
        <v>0</v>
      </c>
      <c r="M49" s="62">
        <v>0</v>
      </c>
      <c r="N49" s="62">
        <v>0</v>
      </c>
      <c r="O49" s="62">
        <v>0</v>
      </c>
      <c r="P49" s="62">
        <v>0</v>
      </c>
      <c r="Q49" s="62">
        <v>0</v>
      </c>
      <c r="R49" s="62">
        <v>0</v>
      </c>
      <c r="S49" s="62">
        <f>-PMT(S12/2,S11*2,S8)</f>
        <v>3048.9917395395123</v>
      </c>
      <c r="T49" s="62">
        <f>+S49*2</f>
        <v>6097.9834790790246</v>
      </c>
      <c r="U49" s="62">
        <f t="shared" si="35"/>
        <v>6097.9834790790246</v>
      </c>
      <c r="V49" s="62">
        <f t="shared" si="36"/>
        <v>6097.9834790790246</v>
      </c>
      <c r="W49" s="62">
        <f t="shared" si="37"/>
        <v>6097.9834790790246</v>
      </c>
      <c r="X49" s="62">
        <f t="shared" si="38"/>
        <v>6097.9834790790246</v>
      </c>
      <c r="Y49" s="62">
        <f t="shared" si="39"/>
        <v>6097.9834790790246</v>
      </c>
      <c r="Z49" s="62">
        <f t="shared" si="40"/>
        <v>6097.9834790790246</v>
      </c>
      <c r="AA49" s="62">
        <f t="shared" si="41"/>
        <v>6097.9834790790246</v>
      </c>
      <c r="AB49" s="62">
        <f t="shared" ref="AB49:AB50" si="42">+AA49</f>
        <v>6097.9834790790246</v>
      </c>
      <c r="AC49" s="62">
        <f>AB49/2</f>
        <v>3048.9917395395123</v>
      </c>
      <c r="AD49" s="62">
        <v>0</v>
      </c>
      <c r="AE49" s="62">
        <v>0</v>
      </c>
      <c r="AF49" s="62">
        <v>0</v>
      </c>
      <c r="AG49" s="24"/>
    </row>
    <row r="50" spans="2:33" x14ac:dyDescent="0.25">
      <c r="B50" s="274">
        <v>2037</v>
      </c>
      <c r="C50" s="48">
        <f>T8</f>
        <v>0</v>
      </c>
      <c r="D50" s="62">
        <f t="shared" ref="D50" si="43">NPV($G$15,H51:AF51)+F51+G51</f>
        <v>0</v>
      </c>
      <c r="E50" s="62">
        <f t="shared" ref="E50" si="44">SUM(F51:AF51)</f>
        <v>0</v>
      </c>
      <c r="F50" s="62">
        <v>0</v>
      </c>
      <c r="G50" s="62">
        <v>0</v>
      </c>
      <c r="H50" s="62">
        <v>0</v>
      </c>
      <c r="I50" s="62">
        <v>0</v>
      </c>
      <c r="J50" s="62">
        <v>0</v>
      </c>
      <c r="K50" s="62">
        <v>0</v>
      </c>
      <c r="L50" s="62">
        <v>0</v>
      </c>
      <c r="M50" s="62">
        <v>0</v>
      </c>
      <c r="N50" s="62">
        <v>0</v>
      </c>
      <c r="O50" s="62">
        <v>0</v>
      </c>
      <c r="P50" s="62">
        <v>0</v>
      </c>
      <c r="Q50" s="62">
        <v>0</v>
      </c>
      <c r="R50" s="62">
        <v>0</v>
      </c>
      <c r="S50" s="62">
        <v>0</v>
      </c>
      <c r="T50" s="62">
        <f>-PMT(T12/2,T11*2,T8)</f>
        <v>0</v>
      </c>
      <c r="U50" s="62">
        <f>+T50*2</f>
        <v>0</v>
      </c>
      <c r="V50" s="62">
        <f t="shared" si="36"/>
        <v>0</v>
      </c>
      <c r="W50" s="62">
        <f t="shared" si="37"/>
        <v>0</v>
      </c>
      <c r="X50" s="62">
        <f t="shared" si="38"/>
        <v>0</v>
      </c>
      <c r="Y50" s="62">
        <f t="shared" si="39"/>
        <v>0</v>
      </c>
      <c r="Z50" s="62">
        <f t="shared" si="40"/>
        <v>0</v>
      </c>
      <c r="AA50" s="62">
        <f t="shared" si="41"/>
        <v>0</v>
      </c>
      <c r="AB50" s="62">
        <f t="shared" si="42"/>
        <v>0</v>
      </c>
      <c r="AC50" s="62">
        <f t="shared" ref="AC50" si="45">+AB50</f>
        <v>0</v>
      </c>
      <c r="AD50" s="62">
        <f>AC50/2</f>
        <v>0</v>
      </c>
      <c r="AE50" s="62">
        <v>0</v>
      </c>
      <c r="AF50" s="62">
        <v>0</v>
      </c>
      <c r="AG50" s="24"/>
    </row>
    <row r="51" spans="2:33" x14ac:dyDescent="0.25">
      <c r="B51" s="44"/>
      <c r="C51" s="48"/>
      <c r="D51" s="62"/>
      <c r="E51" s="62"/>
      <c r="F51" s="62"/>
      <c r="G51" s="62"/>
      <c r="H51" s="62"/>
      <c r="I51" s="62"/>
      <c r="J51" s="62"/>
      <c r="K51" s="62"/>
      <c r="L51" s="62"/>
      <c r="M51" s="62"/>
      <c r="N51" s="62"/>
      <c r="O51" s="62"/>
      <c r="P51" s="62"/>
      <c r="Q51" s="62"/>
      <c r="R51" s="62"/>
      <c r="S51" s="62"/>
      <c r="T51" s="62"/>
      <c r="U51" s="62"/>
      <c r="V51" s="62"/>
      <c r="W51" s="62"/>
      <c r="X51" s="62"/>
      <c r="Y51" s="62"/>
      <c r="Z51" s="62"/>
      <c r="AA51" s="62"/>
      <c r="AB51" s="62"/>
      <c r="AC51" s="62"/>
      <c r="AD51" s="62"/>
      <c r="AE51" s="62"/>
      <c r="AF51" s="62"/>
      <c r="AG51" s="24"/>
    </row>
    <row r="52" spans="2:33" x14ac:dyDescent="0.25">
      <c r="B52" s="44"/>
      <c r="C52" s="68">
        <f>SUM(C37:C51)</f>
        <v>358884.59404096002</v>
      </c>
      <c r="D52" s="68">
        <f t="shared" ref="D52:E52" si="46">SUM(D37:D51)</f>
        <v>291667.87326853431</v>
      </c>
      <c r="E52" s="68">
        <f t="shared" si="46"/>
        <v>473498.467405</v>
      </c>
      <c r="F52" s="68">
        <f t="shared" ref="F52:AF52" si="47">SUM(F38:F51)</f>
        <v>0</v>
      </c>
      <c r="G52" s="68">
        <f t="shared" si="47"/>
        <v>0</v>
      </c>
      <c r="H52" s="68">
        <f t="shared" si="47"/>
        <v>56.863936838983534</v>
      </c>
      <c r="I52" s="68">
        <f t="shared" si="47"/>
        <v>157.33456016814139</v>
      </c>
      <c r="J52" s="68">
        <f t="shared" si="47"/>
        <v>913.39152025802582</v>
      </c>
      <c r="K52" s="68">
        <f t="shared" si="47"/>
        <v>2503.2258942095204</v>
      </c>
      <c r="L52" s="68">
        <f t="shared" si="47"/>
        <v>3695.1155390388685</v>
      </c>
      <c r="M52" s="68">
        <f t="shared" si="47"/>
        <v>5353.1940340665042</v>
      </c>
      <c r="N52" s="68">
        <f t="shared" si="47"/>
        <v>8421.6167151484187</v>
      </c>
      <c r="O52" s="68">
        <f t="shared" si="47"/>
        <v>12988.073377174071</v>
      </c>
      <c r="P52" s="68">
        <f t="shared" si="47"/>
        <v>20149.262204912473</v>
      </c>
      <c r="Q52" s="68">
        <f t="shared" si="47"/>
        <v>28874.038364189117</v>
      </c>
      <c r="R52" s="68">
        <f t="shared" si="47"/>
        <v>37208.684007482087</v>
      </c>
      <c r="S52" s="68">
        <f t="shared" si="47"/>
        <v>44143.520440792345</v>
      </c>
      <c r="T52" s="68">
        <f t="shared" si="47"/>
        <v>46436.455220241973</v>
      </c>
      <c r="U52" s="68">
        <f t="shared" si="47"/>
        <v>44846.620846290483</v>
      </c>
      <c r="V52" s="68">
        <f t="shared" si="47"/>
        <v>43654.731201461131</v>
      </c>
      <c r="W52" s="68">
        <f t="shared" si="47"/>
        <v>41996.652706433495</v>
      </c>
      <c r="X52" s="68">
        <f t="shared" si="47"/>
        <v>38928.230025351586</v>
      </c>
      <c r="Y52" s="68">
        <f t="shared" si="47"/>
        <v>34361.773363325927</v>
      </c>
      <c r="Z52" s="68">
        <f t="shared" si="47"/>
        <v>27200.584535587528</v>
      </c>
      <c r="AA52" s="68">
        <f t="shared" si="47"/>
        <v>18475.808376310881</v>
      </c>
      <c r="AB52" s="68">
        <f t="shared" si="47"/>
        <v>10084.298796178928</v>
      </c>
      <c r="AC52" s="68">
        <f t="shared" si="47"/>
        <v>3048.9917395395123</v>
      </c>
      <c r="AD52" s="68">
        <f t="shared" si="47"/>
        <v>0</v>
      </c>
      <c r="AE52" s="68">
        <f t="shared" si="47"/>
        <v>0</v>
      </c>
      <c r="AF52" s="68">
        <f t="shared" si="47"/>
        <v>0</v>
      </c>
      <c r="AG52" s="24"/>
    </row>
    <row r="53" spans="2:33" x14ac:dyDescent="0.25">
      <c r="B53" s="44"/>
      <c r="C53" s="68"/>
      <c r="D53" s="68"/>
      <c r="E53" s="68"/>
      <c r="F53" s="68"/>
      <c r="G53" s="68"/>
      <c r="H53" s="68"/>
      <c r="I53" s="68"/>
      <c r="J53" s="68"/>
      <c r="K53" s="68"/>
      <c r="L53" s="68"/>
      <c r="M53" s="68"/>
      <c r="N53" s="68"/>
      <c r="O53" s="68"/>
      <c r="P53" s="68"/>
      <c r="Q53" s="68"/>
      <c r="R53" s="68"/>
      <c r="S53" s="68"/>
      <c r="T53" s="68"/>
      <c r="U53" s="68"/>
      <c r="V53" s="68"/>
      <c r="W53" s="68"/>
      <c r="X53" s="68"/>
      <c r="Y53" s="68"/>
      <c r="Z53" s="68"/>
      <c r="AA53" s="68"/>
      <c r="AB53" s="68"/>
      <c r="AC53" s="68"/>
      <c r="AD53" s="68"/>
      <c r="AE53" s="68"/>
      <c r="AF53" s="68"/>
      <c r="AG53" s="24"/>
    </row>
    <row r="54" spans="2:33" ht="14.5" x14ac:dyDescent="0.55000000000000004">
      <c r="B54" s="67" t="s">
        <v>194</v>
      </c>
      <c r="C54" s="140">
        <f>'Tab 8 - WWTP Historic'!C16</f>
        <v>56370.665920745931</v>
      </c>
      <c r="D54" s="140">
        <f>NPV($G$15,H54:AA54)+F54+G54</f>
        <v>87473.90462906404</v>
      </c>
      <c r="E54" s="71">
        <f>SUM(F54:AA54)</f>
        <v>93310.338565703802</v>
      </c>
      <c r="F54" s="140">
        <f>SUM('Tab 8 - WWTP Historic'!E16:Z16)</f>
        <v>55814.31228795764</v>
      </c>
      <c r="G54" s="140">
        <f>'Tab 8 - WWTP Historic'!AA16</f>
        <v>3609.8487486773456</v>
      </c>
      <c r="H54" s="140">
        <f>'Tab 8 - WWTP Historic'!AB16</f>
        <v>3609.8487486773456</v>
      </c>
      <c r="I54" s="140">
        <f>'Tab 8 - WWTP Historic'!AC16</f>
        <v>3609.8487952554347</v>
      </c>
      <c r="J54" s="140">
        <f>'Tab 8 - WWTP Historic'!AD16</f>
        <v>3375.282089466823</v>
      </c>
      <c r="K54" s="140">
        <f>'Tab 8 - WWTP Historic'!AE16</f>
        <v>3269.8313982632262</v>
      </c>
      <c r="L54" s="140">
        <f>'Tab 8 - WWTP Historic'!AF16</f>
        <v>3269.8313982632262</v>
      </c>
      <c r="M54" s="140">
        <f>'Tab 8 - WWTP Historic'!AG16</f>
        <v>3269.8313982632262</v>
      </c>
      <c r="N54" s="140">
        <f>'Tab 8 - WWTP Historic'!AH16</f>
        <v>3269.8313982632262</v>
      </c>
      <c r="O54" s="140">
        <f>'Tab 8 - WWTP Historic'!AI16</f>
        <v>3269.8314395181051</v>
      </c>
      <c r="P54" s="140">
        <f>'Tab 8 - WWTP Historic'!AJ16</f>
        <v>2933.2191549842391</v>
      </c>
      <c r="Q54" s="140">
        <f>'Tab 8 - WWTP Historic'!AK16</f>
        <v>2375.9359588695534</v>
      </c>
      <c r="R54" s="140">
        <f>'Tab 8 - WWTP Historic'!AL16</f>
        <v>1216.0432029757139</v>
      </c>
      <c r="S54" s="140">
        <f>'Tab 8 - WWTP Historic'!AM16</f>
        <v>416.84254626871046</v>
      </c>
      <c r="T54" s="140">
        <f>'Tab 8 - WWTP Historic'!AN16</f>
        <v>0</v>
      </c>
      <c r="U54" s="140">
        <f>'Tab 8 - WWTP Historic'!AO16</f>
        <v>0</v>
      </c>
      <c r="V54" s="140">
        <f>'Tab 8 - WWTP Historic'!AP16</f>
        <v>0</v>
      </c>
      <c r="W54" s="140">
        <f>'Tab 8 - WWTP Historic'!AQ16</f>
        <v>0</v>
      </c>
      <c r="X54" s="140">
        <f>'Tab 8 - WWTP Historic'!AR16</f>
        <v>0</v>
      </c>
      <c r="Y54" s="140">
        <f>'Tab 8 - WWTP Historic'!AS16</f>
        <v>0</v>
      </c>
      <c r="Z54" s="140">
        <f>'Tab 8 - WWTP Historic'!AT16</f>
        <v>0</v>
      </c>
      <c r="AA54" s="140">
        <f>'Tab 8 - WWTP Historic'!AN16</f>
        <v>0</v>
      </c>
      <c r="AB54" s="140">
        <f>'Tab 8 - WWTP Historic'!AO16</f>
        <v>0</v>
      </c>
      <c r="AC54" s="140">
        <f>'Tab 8 - WWTP Historic'!AP16</f>
        <v>0</v>
      </c>
      <c r="AD54" s="140">
        <f>'Tab 8 - WWTP Historic'!AQ16</f>
        <v>0</v>
      </c>
      <c r="AE54" s="140">
        <f>'Tab 8 - WWTP Historic'!AR16</f>
        <v>0</v>
      </c>
      <c r="AF54" s="140">
        <f>'Tab 8 - WWTP Historic'!AS16</f>
        <v>0</v>
      </c>
      <c r="AG54" s="94"/>
    </row>
    <row r="55" spans="2:33" x14ac:dyDescent="0.25">
      <c r="B55" s="67" t="s">
        <v>65</v>
      </c>
      <c r="C55" s="68">
        <f>+C52+C54</f>
        <v>415255.25996170595</v>
      </c>
      <c r="D55" s="68">
        <f>+D52+D54</f>
        <v>379141.77789759834</v>
      </c>
      <c r="E55" s="68">
        <f>+E52+E54</f>
        <v>566808.80597070383</v>
      </c>
      <c r="F55" s="68">
        <f>+F52+F54</f>
        <v>55814.31228795764</v>
      </c>
      <c r="G55" s="68">
        <f t="shared" ref="G55:AF55" si="48">+G52+G54</f>
        <v>3609.8487486773456</v>
      </c>
      <c r="H55" s="68">
        <f t="shared" si="48"/>
        <v>3666.7126855163292</v>
      </c>
      <c r="I55" s="68">
        <f t="shared" si="48"/>
        <v>3767.1833554235759</v>
      </c>
      <c r="J55" s="68">
        <f t="shared" si="48"/>
        <v>4288.6736097248486</v>
      </c>
      <c r="K55" s="68">
        <f t="shared" si="48"/>
        <v>5773.0572924727467</v>
      </c>
      <c r="L55" s="68">
        <f t="shared" si="48"/>
        <v>6964.9469373020947</v>
      </c>
      <c r="M55" s="68">
        <f t="shared" si="48"/>
        <v>8623.0254323297304</v>
      </c>
      <c r="N55" s="68">
        <f t="shared" si="48"/>
        <v>11691.448113411645</v>
      </c>
      <c r="O55" s="68">
        <f t="shared" si="48"/>
        <v>16257.904816692175</v>
      </c>
      <c r="P55" s="68">
        <f t="shared" si="48"/>
        <v>23082.481359896712</v>
      </c>
      <c r="Q55" s="68">
        <f t="shared" si="48"/>
        <v>31249.974323058668</v>
      </c>
      <c r="R55" s="68">
        <f t="shared" si="48"/>
        <v>38424.727210457801</v>
      </c>
      <c r="S55" s="68">
        <f t="shared" si="48"/>
        <v>44560.362987061053</v>
      </c>
      <c r="T55" s="68">
        <f t="shared" si="48"/>
        <v>46436.455220241973</v>
      </c>
      <c r="U55" s="68">
        <f t="shared" si="48"/>
        <v>44846.620846290483</v>
      </c>
      <c r="V55" s="68">
        <f t="shared" si="48"/>
        <v>43654.731201461131</v>
      </c>
      <c r="W55" s="68">
        <f t="shared" si="48"/>
        <v>41996.652706433495</v>
      </c>
      <c r="X55" s="68">
        <f t="shared" si="48"/>
        <v>38928.230025351586</v>
      </c>
      <c r="Y55" s="68">
        <f t="shared" si="48"/>
        <v>34361.773363325927</v>
      </c>
      <c r="Z55" s="68">
        <f t="shared" si="48"/>
        <v>27200.584535587528</v>
      </c>
      <c r="AA55" s="68">
        <f t="shared" si="48"/>
        <v>18475.808376310881</v>
      </c>
      <c r="AB55" s="68">
        <f t="shared" si="48"/>
        <v>10084.298796178928</v>
      </c>
      <c r="AC55" s="68">
        <f t="shared" si="48"/>
        <v>3048.9917395395123</v>
      </c>
      <c r="AD55" s="68">
        <f t="shared" si="48"/>
        <v>0</v>
      </c>
      <c r="AE55" s="68">
        <f t="shared" si="48"/>
        <v>0</v>
      </c>
      <c r="AF55" s="68">
        <f t="shared" si="48"/>
        <v>0</v>
      </c>
      <c r="AG55" s="24"/>
    </row>
    <row r="56" spans="2:33" x14ac:dyDescent="0.25">
      <c r="B56" s="72"/>
      <c r="C56" s="55"/>
      <c r="D56" s="55"/>
      <c r="E56" s="55"/>
      <c r="F56" s="55"/>
      <c r="G56" s="55"/>
      <c r="H56" s="73"/>
      <c r="I56" s="73"/>
      <c r="J56" s="74"/>
      <c r="K56" s="74"/>
      <c r="L56" s="74"/>
      <c r="M56" s="74"/>
      <c r="N56" s="74"/>
      <c r="O56" s="74"/>
      <c r="P56" s="74"/>
      <c r="Q56" s="74"/>
      <c r="R56" s="74"/>
      <c r="S56" s="74"/>
      <c r="T56" s="74"/>
      <c r="U56" s="74"/>
      <c r="V56" s="74"/>
      <c r="W56" s="74"/>
      <c r="X56" s="74"/>
      <c r="Y56" s="74"/>
      <c r="Z56" s="74"/>
      <c r="AA56" s="74"/>
      <c r="AB56" s="74"/>
      <c r="AC56" s="74"/>
      <c r="AD56" s="74"/>
      <c r="AE56" s="74"/>
      <c r="AF56" s="74"/>
      <c r="AG56" s="75"/>
    </row>
    <row r="57" spans="2:33" x14ac:dyDescent="0.25">
      <c r="E57" s="48"/>
      <c r="F57" s="48"/>
      <c r="H57" s="62"/>
      <c r="I57" s="62"/>
      <c r="J57" s="65"/>
      <c r="K57" s="65"/>
      <c r="L57" s="65"/>
      <c r="M57" s="65"/>
      <c r="N57" s="65"/>
      <c r="O57" s="65"/>
      <c r="P57" s="65"/>
      <c r="Q57" s="65"/>
      <c r="R57" s="65"/>
      <c r="S57" s="65"/>
      <c r="T57" s="65"/>
      <c r="U57" s="65"/>
      <c r="V57" s="65"/>
      <c r="W57" s="65"/>
      <c r="X57" s="65"/>
      <c r="Y57" s="65"/>
      <c r="Z57" s="65"/>
      <c r="AA57" s="65"/>
      <c r="AB57" s="65"/>
      <c r="AC57" s="65"/>
      <c r="AD57" s="65"/>
      <c r="AE57" s="65"/>
      <c r="AF57" s="65"/>
      <c r="AG57" s="65"/>
    </row>
    <row r="58" spans="2:33" x14ac:dyDescent="0.25">
      <c r="B58" s="84" t="s">
        <v>195</v>
      </c>
      <c r="C58" s="142">
        <f>'Tab 8 - WWTP Historic'!C17</f>
        <v>228191.73937529136</v>
      </c>
      <c r="D58" s="142">
        <f>NPV($G$15,H58:AA58)+F58+G58</f>
        <v>354099.46150571108</v>
      </c>
      <c r="E58" s="142">
        <f>SUM(F58:AA58)</f>
        <v>377725.68606767186</v>
      </c>
      <c r="F58" s="142">
        <f>SUM('Tab 8 - WWTP Historic'!E17:Z17)</f>
        <v>225939.58746081495</v>
      </c>
      <c r="G58" s="142">
        <f>'Tab 8 - WWTP Historic'!AA17</f>
        <v>14612.878017097271</v>
      </c>
      <c r="H58" s="142">
        <f>'Tab 8 - WWTP Historic'!AB17</f>
        <v>14612.878017097271</v>
      </c>
      <c r="I58" s="142">
        <f>'Tab 8 - WWTP Historic'!AC17</f>
        <v>14612.87820564809</v>
      </c>
      <c r="J58" s="142">
        <f>'Tab 8 - WWTP Historic'!AD17</f>
        <v>13663.33851653584</v>
      </c>
      <c r="K58" s="142">
        <f>'Tab 8 - WWTP Historic'!AE17</f>
        <v>13236.467975784968</v>
      </c>
      <c r="L58" s="142">
        <f>'Tab 8 - WWTP Historic'!AF17</f>
        <v>13236.467975784968</v>
      </c>
      <c r="M58" s="142">
        <f>'Tab 8 - WWTP Historic'!AG17</f>
        <v>13236.467975784968</v>
      </c>
      <c r="N58" s="142">
        <f>'Tab 8 - WWTP Historic'!AH17</f>
        <v>13236.467975784968</v>
      </c>
      <c r="O58" s="142">
        <f>'Tab 8 - WWTP Historic'!AI17</f>
        <v>13236.46814278712</v>
      </c>
      <c r="P58" s="142">
        <f>'Tab 8 - WWTP Historic'!AJ17</f>
        <v>11873.842006511439</v>
      </c>
      <c r="Q58" s="142">
        <f>'Tab 8 - WWTP Historic'!AK17</f>
        <v>9617.9271655403918</v>
      </c>
      <c r="R58" s="142">
        <f>'Tab 8 - WWTP Historic'!AL17</f>
        <v>4922.6137231138227</v>
      </c>
      <c r="S58" s="142">
        <f>'Tab 8 - WWTP Historic'!AM17</f>
        <v>1687.4029093858135</v>
      </c>
      <c r="T58" s="142">
        <f>'Tab 8 - WWTP Historic'!AN17</f>
        <v>0</v>
      </c>
      <c r="U58" s="142">
        <f>'Tab 8 - WWTP Historic'!AO17</f>
        <v>0</v>
      </c>
      <c r="V58" s="142">
        <f>'Tab 8 - WWTP Historic'!AP17</f>
        <v>0</v>
      </c>
      <c r="W58" s="142">
        <f>'Tab 8 - WWTP Historic'!AQ17</f>
        <v>0</v>
      </c>
      <c r="X58" s="142">
        <f>'Tab 8 - WWTP Historic'!AR17</f>
        <v>0</v>
      </c>
      <c r="Y58" s="142">
        <f>'Tab 8 - WWTP Historic'!AS17</f>
        <v>0</v>
      </c>
      <c r="Z58" s="142">
        <f>'Tab 8 - WWTP Historic'!AT17</f>
        <v>0</v>
      </c>
      <c r="AA58" s="142">
        <f>'Tab 8 - WWTP Historic'!AU17</f>
        <v>0</v>
      </c>
      <c r="AB58" s="142">
        <f>'Tab 8 - WWTP Historic'!AV17</f>
        <v>0</v>
      </c>
      <c r="AC58" s="142">
        <f>'Tab 8 - WWTP Historic'!AW17</f>
        <v>0</v>
      </c>
      <c r="AD58" s="142">
        <f>'Tab 8 - WWTP Historic'!AX17</f>
        <v>0</v>
      </c>
      <c r="AE58" s="142">
        <f>'Tab 8 - WWTP Historic'!AY17</f>
        <v>0</v>
      </c>
      <c r="AF58" s="142">
        <f>'Tab 8 - WWTP Historic'!AZ17</f>
        <v>0</v>
      </c>
      <c r="AG58" s="143"/>
    </row>
    <row r="60" spans="2:33" x14ac:dyDescent="0.25">
      <c r="B60" s="84" t="s">
        <v>196</v>
      </c>
      <c r="C60" s="181">
        <f>C31+C55</f>
        <v>1179052.4284711778</v>
      </c>
      <c r="D60" s="181">
        <f>D31+D55</f>
        <v>1163826.4156295937</v>
      </c>
      <c r="E60" s="181">
        <f t="shared" ref="E60" si="49">E31+E55</f>
        <v>1484297.8221201545</v>
      </c>
      <c r="F60" s="181">
        <f t="shared" ref="F60:AE60" si="50">F31+F55</f>
        <v>199990.85044795764</v>
      </c>
      <c r="G60" s="181">
        <f t="shared" si="50"/>
        <v>57253.080224657249</v>
      </c>
      <c r="H60" s="181">
        <f t="shared" si="50"/>
        <v>64660.293899370598</v>
      </c>
      <c r="I60" s="181">
        <f t="shared" si="50"/>
        <v>69990.104231828635</v>
      </c>
      <c r="J60" s="181">
        <f t="shared" si="50"/>
        <v>76935.360402860286</v>
      </c>
      <c r="K60" s="181">
        <f t="shared" si="50"/>
        <v>88138.940887748235</v>
      </c>
      <c r="L60" s="181">
        <f t="shared" si="50"/>
        <v>85974.977460579612</v>
      </c>
      <c r="M60" s="181">
        <f t="shared" si="50"/>
        <v>81475.87146289277</v>
      </c>
      <c r="N60" s="181">
        <f t="shared" si="50"/>
        <v>75224.439347356703</v>
      </c>
      <c r="O60" s="181">
        <f t="shared" si="50"/>
        <v>68331.959560637231</v>
      </c>
      <c r="P60" s="181">
        <f t="shared" si="50"/>
        <v>66024.424733841777</v>
      </c>
      <c r="Q60" s="181">
        <f t="shared" si="50"/>
        <v>67804.578461023804</v>
      </c>
      <c r="R60" s="181">
        <f t="shared" si="50"/>
        <v>67592.148340548592</v>
      </c>
      <c r="S60" s="181">
        <f t="shared" si="50"/>
        <v>68342.898047837007</v>
      </c>
      <c r="T60" s="181">
        <f t="shared" si="50"/>
        <v>63790.291324287551</v>
      </c>
      <c r="U60" s="181">
        <f t="shared" si="50"/>
        <v>52476.180998195989</v>
      </c>
      <c r="V60" s="181">
        <f t="shared" si="50"/>
        <v>47105.852575364624</v>
      </c>
      <c r="W60" s="181">
        <f t="shared" si="50"/>
        <v>45071.616126433495</v>
      </c>
      <c r="X60" s="181">
        <f t="shared" si="50"/>
        <v>42002.937345351587</v>
      </c>
      <c r="Y60" s="181">
        <f t="shared" si="50"/>
        <v>37239.657383325924</v>
      </c>
      <c r="Z60" s="181">
        <f t="shared" si="50"/>
        <v>27200.584535587528</v>
      </c>
      <c r="AA60" s="181">
        <f t="shared" si="50"/>
        <v>18475.808376310881</v>
      </c>
      <c r="AB60" s="181">
        <f t="shared" si="50"/>
        <v>10084.298796178928</v>
      </c>
      <c r="AC60" s="181">
        <f t="shared" si="50"/>
        <v>3048.9917395395123</v>
      </c>
      <c r="AD60" s="181">
        <f t="shared" si="50"/>
        <v>0</v>
      </c>
      <c r="AE60" s="181">
        <f t="shared" si="50"/>
        <v>0</v>
      </c>
      <c r="AF60" s="181">
        <f t="shared" ref="AF60:AG60" si="51">AF31+AF55</f>
        <v>0</v>
      </c>
      <c r="AG60" s="182">
        <f t="shared" si="51"/>
        <v>0</v>
      </c>
    </row>
    <row r="62" spans="2:33" x14ac:dyDescent="0.25">
      <c r="B62" s="84" t="s">
        <v>89</v>
      </c>
      <c r="C62" s="181">
        <f>C58+C60</f>
        <v>1407244.1678464692</v>
      </c>
      <c r="D62" s="263">
        <f t="shared" ref="D62:AE62" si="52">D58+D60</f>
        <v>1517925.8771353047</v>
      </c>
      <c r="E62" s="181">
        <f t="shared" si="52"/>
        <v>1862023.5081878263</v>
      </c>
      <c r="F62" s="181">
        <f t="shared" si="52"/>
        <v>425930.43790877261</v>
      </c>
      <c r="G62" s="181">
        <f>G58+G60</f>
        <v>71865.958241754517</v>
      </c>
      <c r="H62" s="181">
        <f t="shared" si="52"/>
        <v>79273.171916467865</v>
      </c>
      <c r="I62" s="181">
        <f t="shared" si="52"/>
        <v>84602.982437476719</v>
      </c>
      <c r="J62" s="181">
        <f t="shared" si="52"/>
        <v>90598.69891939612</v>
      </c>
      <c r="K62" s="181">
        <f t="shared" si="52"/>
        <v>101375.4088635332</v>
      </c>
      <c r="L62" s="181">
        <f t="shared" si="52"/>
        <v>99211.445436364578</v>
      </c>
      <c r="M62" s="181">
        <f t="shared" si="52"/>
        <v>94712.339438677736</v>
      </c>
      <c r="N62" s="181">
        <f t="shared" si="52"/>
        <v>88460.90732314167</v>
      </c>
      <c r="O62" s="181">
        <f t="shared" si="52"/>
        <v>81568.427703424357</v>
      </c>
      <c r="P62" s="181">
        <f t="shared" si="52"/>
        <v>77898.26674035321</v>
      </c>
      <c r="Q62" s="181">
        <f t="shared" si="52"/>
        <v>77422.505626564191</v>
      </c>
      <c r="R62" s="181">
        <f t="shared" si="52"/>
        <v>72514.76206366242</v>
      </c>
      <c r="S62" s="181">
        <f t="shared" si="52"/>
        <v>70030.300957222818</v>
      </c>
      <c r="T62" s="181">
        <f t="shared" si="52"/>
        <v>63790.291324287551</v>
      </c>
      <c r="U62" s="181">
        <f t="shared" si="52"/>
        <v>52476.180998195989</v>
      </c>
      <c r="V62" s="181">
        <f t="shared" si="52"/>
        <v>47105.852575364624</v>
      </c>
      <c r="W62" s="181">
        <f t="shared" si="52"/>
        <v>45071.616126433495</v>
      </c>
      <c r="X62" s="181">
        <f t="shared" si="52"/>
        <v>42002.937345351587</v>
      </c>
      <c r="Y62" s="181">
        <f t="shared" si="52"/>
        <v>37239.657383325924</v>
      </c>
      <c r="Z62" s="181">
        <f t="shared" si="52"/>
        <v>27200.584535587528</v>
      </c>
      <c r="AA62" s="181">
        <f t="shared" si="52"/>
        <v>18475.808376310881</v>
      </c>
      <c r="AB62" s="181">
        <f t="shared" si="52"/>
        <v>10084.298796178928</v>
      </c>
      <c r="AC62" s="181">
        <f t="shared" si="52"/>
        <v>3048.9917395395123</v>
      </c>
      <c r="AD62" s="181">
        <f t="shared" si="52"/>
        <v>0</v>
      </c>
      <c r="AE62" s="181">
        <f t="shared" si="52"/>
        <v>0</v>
      </c>
      <c r="AF62" s="181">
        <f t="shared" ref="AF62:AG62" si="53">AF58+AF60</f>
        <v>0</v>
      </c>
      <c r="AG62" s="182">
        <f t="shared" si="53"/>
        <v>0</v>
      </c>
    </row>
  </sheetData>
  <mergeCells count="2">
    <mergeCell ref="B2:F2"/>
    <mergeCell ref="D4:E4"/>
  </mergeCells>
  <pageMargins left="0.28999999999999998" right="0.21" top="0.32" bottom="0.42" header="0.28000000000000003" footer="0.22"/>
  <pageSetup paperSize="5" scale="30" fitToHeight="0" orientation="landscape" r:id="rId1"/>
  <headerFooter alignWithMargins="0"/>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F82410-AB34-4A71-996B-81D405180AC2}">
  <sheetPr>
    <pageSetUpPr fitToPage="1"/>
  </sheetPr>
  <dimension ref="A1:AS42"/>
  <sheetViews>
    <sheetView showGridLines="0" topLeftCell="C4" workbookViewId="0">
      <selection activeCell="D28" sqref="D28"/>
    </sheetView>
  </sheetViews>
  <sheetFormatPr defaultRowHeight="14.5" outlineLevelCol="1" x14ac:dyDescent="0.35"/>
  <cols>
    <col min="1" max="1" width="45.7265625" customWidth="1"/>
    <col min="2" max="2" width="20.54296875" customWidth="1"/>
    <col min="3" max="3" width="11.1796875" bestFit="1" customWidth="1"/>
    <col min="4" max="4" width="11.54296875" bestFit="1" customWidth="1"/>
    <col min="5" max="11" width="8.54296875" customWidth="1" outlineLevel="1"/>
    <col min="12" max="12" width="11.453125" bestFit="1" customWidth="1" outlineLevel="1"/>
    <col min="13" max="19" width="8.54296875" customWidth="1" outlineLevel="1"/>
    <col min="20" max="20" width="8.54296875" customWidth="1"/>
  </cols>
  <sheetData>
    <row r="1" spans="1:43" ht="15.5" x14ac:dyDescent="0.35">
      <c r="A1" s="194" t="s">
        <v>197</v>
      </c>
    </row>
    <row r="2" spans="1:43" ht="42" customHeight="1" x14ac:dyDescent="0.35">
      <c r="A2" s="556" t="s">
        <v>14</v>
      </c>
      <c r="B2" s="556"/>
      <c r="C2" s="556"/>
      <c r="D2" s="556"/>
      <c r="E2" s="556"/>
      <c r="F2" s="556"/>
      <c r="G2" s="556"/>
      <c r="H2" s="556"/>
      <c r="I2" s="556"/>
      <c r="J2" s="556"/>
      <c r="K2" s="556"/>
      <c r="L2" s="556"/>
      <c r="M2" s="556"/>
      <c r="N2" s="556"/>
      <c r="O2" s="556"/>
      <c r="P2" s="556"/>
      <c r="Q2" s="556"/>
      <c r="R2" s="556"/>
      <c r="S2" s="556"/>
      <c r="T2" s="556"/>
      <c r="U2" s="556"/>
      <c r="V2" s="556"/>
    </row>
    <row r="3" spans="1:43" s="30" customFormat="1" ht="11.5" x14ac:dyDescent="0.25">
      <c r="A3" s="76" t="s">
        <v>198</v>
      </c>
      <c r="B3" s="77"/>
      <c r="C3" s="77"/>
      <c r="D3" s="77"/>
      <c r="E3" s="40"/>
      <c r="F3" s="40"/>
      <c r="G3" s="40"/>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row>
    <row r="4" spans="1:43" s="30" customFormat="1" ht="23" x14ac:dyDescent="0.25">
      <c r="A4" s="136"/>
      <c r="B4" s="137" t="s">
        <v>92</v>
      </c>
      <c r="C4" s="137" t="s">
        <v>69</v>
      </c>
      <c r="D4" s="137" t="s">
        <v>93</v>
      </c>
      <c r="E4" s="410">
        <v>2000</v>
      </c>
      <c r="F4" s="410">
        <v>2001</v>
      </c>
      <c r="G4" s="411">
        <v>2002</v>
      </c>
      <c r="H4" s="411">
        <v>2003</v>
      </c>
      <c r="I4" s="411">
        <v>2004</v>
      </c>
      <c r="J4" s="411">
        <v>2005</v>
      </c>
      <c r="K4" s="411">
        <v>2006</v>
      </c>
      <c r="L4" s="411">
        <v>2007</v>
      </c>
      <c r="M4" s="411">
        <v>2008</v>
      </c>
      <c r="N4" s="411">
        <v>2009</v>
      </c>
      <c r="O4" s="411">
        <v>2010</v>
      </c>
      <c r="P4" s="411">
        <v>2011</v>
      </c>
      <c r="Q4" s="411">
        <v>2012</v>
      </c>
      <c r="R4" s="411">
        <v>2013</v>
      </c>
      <c r="S4" s="411">
        <v>2014</v>
      </c>
      <c r="T4" s="411">
        <v>2015</v>
      </c>
      <c r="U4" s="411">
        <v>2016</v>
      </c>
      <c r="V4" s="411">
        <v>2017</v>
      </c>
      <c r="W4" s="411">
        <v>2018</v>
      </c>
      <c r="X4" s="411">
        <v>2019</v>
      </c>
      <c r="Y4" s="411">
        <v>2020</v>
      </c>
      <c r="Z4" s="411">
        <v>2021</v>
      </c>
      <c r="AA4" s="411">
        <v>2022</v>
      </c>
      <c r="AB4" s="411">
        <v>2023</v>
      </c>
      <c r="AC4" s="411">
        <v>2024</v>
      </c>
      <c r="AD4" s="411">
        <v>2025</v>
      </c>
      <c r="AE4" s="411">
        <v>2026</v>
      </c>
      <c r="AF4" s="411">
        <v>2027</v>
      </c>
      <c r="AG4" s="411">
        <v>2028</v>
      </c>
      <c r="AH4" s="411">
        <v>2029</v>
      </c>
      <c r="AI4" s="411">
        <v>2030</v>
      </c>
      <c r="AJ4" s="411">
        <v>2031</v>
      </c>
      <c r="AK4" s="411">
        <v>2032</v>
      </c>
      <c r="AL4" s="411">
        <v>2033</v>
      </c>
      <c r="AM4" s="411">
        <v>2034</v>
      </c>
      <c r="AN4" s="411">
        <v>2035</v>
      </c>
      <c r="AO4" s="411">
        <v>2036</v>
      </c>
      <c r="AP4" s="411">
        <v>2037</v>
      </c>
      <c r="AQ4" s="411">
        <v>2038</v>
      </c>
    </row>
    <row r="5" spans="1:43" s="30" customFormat="1" ht="11.5" x14ac:dyDescent="0.25">
      <c r="A5" s="44"/>
    </row>
    <row r="6" spans="1:43" s="30" customFormat="1" ht="11.5" x14ac:dyDescent="0.25">
      <c r="A6" s="44" t="s">
        <v>199</v>
      </c>
      <c r="C6" s="48">
        <f>SUM(D6:AQ6)</f>
        <v>386415</v>
      </c>
      <c r="E6" s="62"/>
      <c r="F6" s="62"/>
      <c r="G6" s="62"/>
      <c r="H6" s="62"/>
      <c r="I6" s="62">
        <v>12000</v>
      </c>
      <c r="J6" s="62">
        <v>40000</v>
      </c>
      <c r="K6" s="62">
        <v>60000</v>
      </c>
      <c r="L6" s="62">
        <v>130000</v>
      </c>
      <c r="M6" s="62">
        <v>72000</v>
      </c>
      <c r="N6" s="62">
        <v>72415</v>
      </c>
    </row>
    <row r="7" spans="1:43" s="30" customFormat="1" ht="11.5" x14ac:dyDescent="0.25">
      <c r="A7" s="44" t="s">
        <v>200</v>
      </c>
      <c r="C7" s="48"/>
      <c r="E7" s="62"/>
      <c r="F7" s="62"/>
      <c r="G7" s="62"/>
      <c r="H7" s="62"/>
      <c r="I7" s="525">
        <v>5.1799999999999999E-2</v>
      </c>
      <c r="J7" s="62" t="s">
        <v>201</v>
      </c>
      <c r="K7" s="62" t="s">
        <v>202</v>
      </c>
      <c r="L7" s="62" t="s">
        <v>203</v>
      </c>
      <c r="M7" s="62" t="s">
        <v>204</v>
      </c>
      <c r="N7" s="62" t="s">
        <v>205</v>
      </c>
    </row>
    <row r="8" spans="1:43" s="526" customFormat="1" ht="11.5" x14ac:dyDescent="0.25">
      <c r="A8" s="527" t="s">
        <v>206</v>
      </c>
      <c r="I8" s="526">
        <v>20</v>
      </c>
      <c r="J8" s="526" t="s">
        <v>207</v>
      </c>
      <c r="K8" s="526">
        <v>25</v>
      </c>
      <c r="L8" s="526">
        <v>25</v>
      </c>
      <c r="M8" s="526">
        <v>25</v>
      </c>
      <c r="N8" s="526">
        <v>25</v>
      </c>
    </row>
    <row r="9" spans="1:43" s="30" customFormat="1" ht="11.5" x14ac:dyDescent="0.25">
      <c r="A9" s="44" t="s">
        <v>208</v>
      </c>
      <c r="C9" s="48">
        <f>C6</f>
        <v>386415</v>
      </c>
      <c r="D9" s="48">
        <f>SUM(E9:AQ9)</f>
        <v>663989.40935043676</v>
      </c>
      <c r="E9" s="62">
        <v>0</v>
      </c>
      <c r="F9" s="62">
        <v>0</v>
      </c>
      <c r="G9" s="62">
        <v>0</v>
      </c>
      <c r="H9" s="62">
        <v>0</v>
      </c>
      <c r="I9" s="62">
        <v>0</v>
      </c>
      <c r="J9" s="62">
        <v>1762.59563</v>
      </c>
      <c r="K9" s="62">
        <v>5084.3728799999999</v>
      </c>
      <c r="L9" s="62">
        <v>9271.9444100000001</v>
      </c>
      <c r="M9" s="62">
        <v>17987.683870000001</v>
      </c>
      <c r="N9" s="62">
        <v>22623.588209999998</v>
      </c>
      <c r="O9" s="62">
        <v>27125.352297763155</v>
      </c>
      <c r="P9" s="62">
        <v>27125.352297763151</v>
      </c>
      <c r="Q9" s="62">
        <v>27125.352297763151</v>
      </c>
      <c r="R9" s="62">
        <v>27125.352297763158</v>
      </c>
      <c r="S9" s="62">
        <v>27125.352297763158</v>
      </c>
      <c r="T9" s="62">
        <v>27125.352297763158</v>
      </c>
      <c r="U9" s="62">
        <v>27125.352297763158</v>
      </c>
      <c r="V9" s="62">
        <v>27125.352297763158</v>
      </c>
      <c r="W9" s="62">
        <v>27125.352297763158</v>
      </c>
      <c r="X9" s="62">
        <v>27125.352297763155</v>
      </c>
      <c r="Y9" s="62">
        <v>27125.352297763158</v>
      </c>
      <c r="Z9" s="62">
        <v>27125.352297763158</v>
      </c>
      <c r="AA9" s="62">
        <v>27125.352297763158</v>
      </c>
      <c r="AB9" s="62">
        <v>27125.352297763158</v>
      </c>
      <c r="AC9" s="62">
        <v>27125.35264776316</v>
      </c>
      <c r="AD9" s="62">
        <v>25362.75676776316</v>
      </c>
      <c r="AE9" s="62">
        <v>24570.372557763156</v>
      </c>
      <c r="AF9" s="62">
        <v>24570.372557763156</v>
      </c>
      <c r="AG9" s="62">
        <v>24570.372557763156</v>
      </c>
      <c r="AH9" s="62">
        <v>24570.372557763156</v>
      </c>
      <c r="AI9" s="62">
        <v>24570.372867763159</v>
      </c>
      <c r="AJ9" s="62">
        <v>22040.97968776316</v>
      </c>
      <c r="AK9" s="62">
        <v>17853.407277763159</v>
      </c>
      <c r="AL9" s="62">
        <v>9137.6682477631584</v>
      </c>
      <c r="AM9" s="62">
        <v>3132.2644541210525</v>
      </c>
      <c r="AN9" s="62"/>
      <c r="AO9" s="62"/>
      <c r="AP9" s="62"/>
      <c r="AQ9" s="62"/>
    </row>
    <row r="10" spans="1:43" s="30" customFormat="1" ht="11.5" x14ac:dyDescent="0.25">
      <c r="A10" s="44" t="s">
        <v>209</v>
      </c>
      <c r="C10" s="48">
        <v>37169</v>
      </c>
      <c r="D10" s="48"/>
      <c r="E10" s="62">
        <v>0</v>
      </c>
      <c r="F10" s="62">
        <v>2800</v>
      </c>
      <c r="G10" s="62">
        <v>0</v>
      </c>
      <c r="H10" s="62">
        <v>1183</v>
      </c>
      <c r="I10" s="62">
        <v>2850</v>
      </c>
      <c r="J10" s="62">
        <v>3141</v>
      </c>
      <c r="K10" s="62">
        <v>14146</v>
      </c>
      <c r="L10" s="62">
        <v>13049</v>
      </c>
      <c r="M10" s="62"/>
      <c r="N10" s="62"/>
      <c r="O10" s="62"/>
      <c r="P10" s="62"/>
      <c r="Q10" s="62"/>
      <c r="R10" s="62"/>
      <c r="S10" s="62"/>
      <c r="T10" s="62"/>
      <c r="U10" s="62"/>
      <c r="V10" s="62"/>
      <c r="W10" s="62"/>
      <c r="X10" s="62"/>
      <c r="Y10" s="62"/>
      <c r="Z10" s="62"/>
      <c r="AA10" s="62"/>
      <c r="AB10" s="62"/>
      <c r="AC10" s="62"/>
      <c r="AD10" s="62"/>
      <c r="AE10" s="62"/>
      <c r="AF10" s="62"/>
      <c r="AG10" s="62"/>
      <c r="AH10" s="62"/>
      <c r="AI10" s="62"/>
      <c r="AJ10" s="62"/>
      <c r="AK10" s="62"/>
      <c r="AL10" s="62"/>
      <c r="AM10" s="62"/>
      <c r="AN10" s="62"/>
      <c r="AO10" s="62"/>
      <c r="AP10" s="62"/>
      <c r="AQ10" s="62"/>
    </row>
    <row r="11" spans="1:43" s="30" customFormat="1" ht="11.5" x14ac:dyDescent="0.25">
      <c r="A11" s="44" t="s">
        <v>210</v>
      </c>
      <c r="C11" s="62">
        <f t="shared" ref="C11" si="0">SUM(C9:C10)</f>
        <v>423584</v>
      </c>
      <c r="D11" s="48">
        <f>D9</f>
        <v>663989.40935043676</v>
      </c>
      <c r="E11" s="62">
        <f>SUM(E9:E10)</f>
        <v>0</v>
      </c>
      <c r="F11" s="62">
        <f t="shared" ref="F11:AQ11" si="1">SUM(F9:F10)</f>
        <v>2800</v>
      </c>
      <c r="G11" s="62">
        <f t="shared" si="1"/>
        <v>0</v>
      </c>
      <c r="H11" s="62">
        <f t="shared" si="1"/>
        <v>1183</v>
      </c>
      <c r="I11" s="62">
        <f t="shared" si="1"/>
        <v>2850</v>
      </c>
      <c r="J11" s="62">
        <f t="shared" si="1"/>
        <v>4903.5956299999998</v>
      </c>
      <c r="K11" s="62">
        <f t="shared" si="1"/>
        <v>19230.372879999999</v>
      </c>
      <c r="L11" s="62">
        <f t="shared" si="1"/>
        <v>22320.94441</v>
      </c>
      <c r="M11" s="62">
        <f t="shared" si="1"/>
        <v>17987.683870000001</v>
      </c>
      <c r="N11" s="62">
        <f t="shared" si="1"/>
        <v>22623.588209999998</v>
      </c>
      <c r="O11" s="62">
        <f t="shared" si="1"/>
        <v>27125.352297763155</v>
      </c>
      <c r="P11" s="62">
        <f t="shared" si="1"/>
        <v>27125.352297763151</v>
      </c>
      <c r="Q11" s="62">
        <f t="shared" si="1"/>
        <v>27125.352297763151</v>
      </c>
      <c r="R11" s="62">
        <f t="shared" si="1"/>
        <v>27125.352297763158</v>
      </c>
      <c r="S11" s="62">
        <f t="shared" si="1"/>
        <v>27125.352297763158</v>
      </c>
      <c r="T11" s="62">
        <f t="shared" si="1"/>
        <v>27125.352297763158</v>
      </c>
      <c r="U11" s="62">
        <f t="shared" si="1"/>
        <v>27125.352297763158</v>
      </c>
      <c r="V11" s="62">
        <f t="shared" si="1"/>
        <v>27125.352297763158</v>
      </c>
      <c r="W11" s="62">
        <f t="shared" si="1"/>
        <v>27125.352297763158</v>
      </c>
      <c r="X11" s="62">
        <f t="shared" si="1"/>
        <v>27125.352297763155</v>
      </c>
      <c r="Y11" s="62">
        <f t="shared" si="1"/>
        <v>27125.352297763158</v>
      </c>
      <c r="Z11" s="62">
        <f t="shared" si="1"/>
        <v>27125.352297763158</v>
      </c>
      <c r="AA11" s="62">
        <f t="shared" si="1"/>
        <v>27125.352297763158</v>
      </c>
      <c r="AB11" s="62">
        <f t="shared" si="1"/>
        <v>27125.352297763158</v>
      </c>
      <c r="AC11" s="62">
        <f t="shared" si="1"/>
        <v>27125.35264776316</v>
      </c>
      <c r="AD11" s="62">
        <f t="shared" si="1"/>
        <v>25362.75676776316</v>
      </c>
      <c r="AE11" s="62">
        <f t="shared" si="1"/>
        <v>24570.372557763156</v>
      </c>
      <c r="AF11" s="62">
        <f t="shared" si="1"/>
        <v>24570.372557763156</v>
      </c>
      <c r="AG11" s="62">
        <f t="shared" si="1"/>
        <v>24570.372557763156</v>
      </c>
      <c r="AH11" s="62">
        <f t="shared" si="1"/>
        <v>24570.372557763156</v>
      </c>
      <c r="AI11" s="62">
        <f t="shared" si="1"/>
        <v>24570.372867763159</v>
      </c>
      <c r="AJ11" s="62">
        <f t="shared" si="1"/>
        <v>22040.97968776316</v>
      </c>
      <c r="AK11" s="62">
        <f t="shared" si="1"/>
        <v>17853.407277763159</v>
      </c>
      <c r="AL11" s="62">
        <f t="shared" si="1"/>
        <v>9137.6682477631584</v>
      </c>
      <c r="AM11" s="62">
        <f t="shared" si="1"/>
        <v>3132.2644541210525</v>
      </c>
      <c r="AN11" s="62">
        <f t="shared" si="1"/>
        <v>0</v>
      </c>
      <c r="AO11" s="62">
        <f t="shared" si="1"/>
        <v>0</v>
      </c>
      <c r="AP11" s="62">
        <f t="shared" si="1"/>
        <v>0</v>
      </c>
      <c r="AQ11" s="62">
        <f t="shared" si="1"/>
        <v>0</v>
      </c>
    </row>
    <row r="12" spans="1:43" s="30" customFormat="1" ht="11.5" x14ac:dyDescent="0.25">
      <c r="A12" s="44"/>
      <c r="C12" s="48"/>
      <c r="D12" s="48"/>
      <c r="E12" s="62"/>
      <c r="F12" s="62"/>
      <c r="G12" s="62"/>
      <c r="H12" s="62"/>
      <c r="I12" s="62"/>
      <c r="J12" s="62"/>
      <c r="K12" s="62"/>
      <c r="L12" s="62"/>
      <c r="M12" s="62"/>
      <c r="N12" s="62"/>
      <c r="O12" s="62"/>
      <c r="P12" s="62"/>
      <c r="Q12" s="62"/>
      <c r="R12" s="62"/>
      <c r="S12" s="62"/>
      <c r="T12" s="62"/>
      <c r="U12" s="62"/>
      <c r="V12" s="62"/>
      <c r="W12" s="62"/>
      <c r="X12" s="62"/>
      <c r="Y12" s="62"/>
      <c r="Z12" s="62"/>
      <c r="AA12" s="62"/>
      <c r="AB12" s="62"/>
      <c r="AC12" s="62"/>
      <c r="AD12" s="62"/>
      <c r="AE12" s="62"/>
      <c r="AF12" s="62"/>
      <c r="AG12" s="62"/>
      <c r="AH12" s="62"/>
      <c r="AI12" s="62"/>
      <c r="AJ12" s="62"/>
      <c r="AK12" s="62"/>
      <c r="AL12" s="62"/>
      <c r="AM12" s="62"/>
      <c r="AN12" s="62"/>
      <c r="AO12" s="62"/>
      <c r="AP12" s="62"/>
      <c r="AQ12" s="62"/>
    </row>
    <row r="13" spans="1:43" s="30" customFormat="1" ht="11.5" x14ac:dyDescent="0.25">
      <c r="A13" s="44" t="s">
        <v>211</v>
      </c>
      <c r="B13" s="405">
        <f>SUM('Tab 11 - WWTP Pine Creek Costs '!H56:L56)/'Tab 11 - WWTP Pine Creek Costs '!C56</f>
        <v>0.30742590742590747</v>
      </c>
      <c r="C13" s="48">
        <f>$C$11*B13</f>
        <v>130220.6955710956</v>
      </c>
      <c r="D13" s="48">
        <f>SUM(E13:AQ13)</f>
        <v>215554.260243864</v>
      </c>
      <c r="E13" s="62">
        <f>E11*$B$13</f>
        <v>0</v>
      </c>
      <c r="F13" s="62">
        <f>F11*$B$13</f>
        <v>860.79254079254088</v>
      </c>
      <c r="G13" s="62">
        <f t="shared" ref="G13:AQ13" si="2">G11*$B$13</f>
        <v>0</v>
      </c>
      <c r="H13" s="62">
        <f t="shared" si="2"/>
        <v>363.68484848484854</v>
      </c>
      <c r="I13" s="62">
        <f t="shared" si="2"/>
        <v>876.16383616383632</v>
      </c>
      <c r="J13" s="62">
        <f t="shared" si="2"/>
        <v>1507.4923362024645</v>
      </c>
      <c r="K13" s="62">
        <f t="shared" si="2"/>
        <v>5911.9148327725616</v>
      </c>
      <c r="L13" s="62">
        <f t="shared" si="2"/>
        <v>6862.0365898474865</v>
      </c>
      <c r="M13" s="62">
        <f t="shared" si="2"/>
        <v>5529.8800362251095</v>
      </c>
      <c r="N13" s="62">
        <f t="shared" si="2"/>
        <v>6955.0771346893116</v>
      </c>
      <c r="O13" s="62">
        <f t="shared" si="2"/>
        <v>8339.0360443872614</v>
      </c>
      <c r="P13" s="62">
        <f t="shared" si="2"/>
        <v>8339.0360443872614</v>
      </c>
      <c r="Q13" s="62">
        <f t="shared" si="2"/>
        <v>8339.0360443872614</v>
      </c>
      <c r="R13" s="62">
        <f t="shared" si="2"/>
        <v>8339.0360443872632</v>
      </c>
      <c r="S13" s="62">
        <f t="shared" si="2"/>
        <v>8339.0360443872632</v>
      </c>
      <c r="T13" s="62">
        <f t="shared" si="2"/>
        <v>8339.0360443872632</v>
      </c>
      <c r="U13" s="62">
        <f t="shared" si="2"/>
        <v>8339.0360443872632</v>
      </c>
      <c r="V13" s="62">
        <f t="shared" si="2"/>
        <v>8339.0360443872632</v>
      </c>
      <c r="W13" s="62">
        <f t="shared" si="2"/>
        <v>8339.0360443872632</v>
      </c>
      <c r="X13" s="62">
        <f t="shared" si="2"/>
        <v>8339.0360443872614</v>
      </c>
      <c r="Y13" s="62">
        <f t="shared" si="2"/>
        <v>8339.0360443872632</v>
      </c>
      <c r="Z13" s="62">
        <f t="shared" si="2"/>
        <v>8339.0360443872632</v>
      </c>
      <c r="AA13" s="62">
        <f t="shared" si="2"/>
        <v>8339.0360443872632</v>
      </c>
      <c r="AB13" s="62">
        <f t="shared" si="2"/>
        <v>8339.0360443872632</v>
      </c>
      <c r="AC13" s="62">
        <f t="shared" si="2"/>
        <v>8339.0361519863309</v>
      </c>
      <c r="AD13" s="62">
        <f t="shared" si="2"/>
        <v>7797.1685141521657</v>
      </c>
      <c r="AE13" s="62">
        <f t="shared" si="2"/>
        <v>7553.5690793629537</v>
      </c>
      <c r="AF13" s="62">
        <f t="shared" si="2"/>
        <v>7553.5690793629537</v>
      </c>
      <c r="AG13" s="62">
        <f t="shared" si="2"/>
        <v>7553.5690793629537</v>
      </c>
      <c r="AH13" s="62">
        <f t="shared" si="2"/>
        <v>7553.5690793629537</v>
      </c>
      <c r="AI13" s="62">
        <f t="shared" si="2"/>
        <v>7553.5691746649854</v>
      </c>
      <c r="AJ13" s="62">
        <f t="shared" si="2"/>
        <v>6775.9681810665843</v>
      </c>
      <c r="AK13" s="62">
        <f t="shared" si="2"/>
        <v>5488.5999330106397</v>
      </c>
      <c r="AL13" s="62">
        <f t="shared" si="2"/>
        <v>2809.1559528254911</v>
      </c>
      <c r="AM13" s="62">
        <f t="shared" si="2"/>
        <v>962.93924210607929</v>
      </c>
      <c r="AN13" s="62">
        <f t="shared" si="2"/>
        <v>0</v>
      </c>
      <c r="AO13" s="62">
        <f t="shared" si="2"/>
        <v>0</v>
      </c>
      <c r="AP13" s="62">
        <f t="shared" si="2"/>
        <v>0</v>
      </c>
      <c r="AQ13" s="62">
        <f t="shared" si="2"/>
        <v>0</v>
      </c>
    </row>
    <row r="14" spans="1:43" s="30" customFormat="1" ht="11.5" x14ac:dyDescent="0.25">
      <c r="A14" s="44" t="s">
        <v>212</v>
      </c>
      <c r="B14" s="405">
        <f>'Tab 11 - WWTP Pine Creek Costs '!E56/'Tab 11 - WWTP Pine Creek Costs '!C56</f>
        <v>0.13719613719613721</v>
      </c>
      <c r="C14" s="48">
        <f>$C$11*B14</f>
        <v>58114.088578088587</v>
      </c>
      <c r="D14" s="48">
        <f>SUM(E14:AQ14)</f>
        <v>96196.225325467822</v>
      </c>
      <c r="E14" s="62">
        <f>E11*$B$14</f>
        <v>0</v>
      </c>
      <c r="F14" s="62">
        <f>F11*$B$14</f>
        <v>384.14918414918418</v>
      </c>
      <c r="G14" s="62">
        <f t="shared" ref="G14:AQ14" si="3">G11*$B$14</f>
        <v>0</v>
      </c>
      <c r="H14" s="62">
        <f t="shared" si="3"/>
        <v>162.30303030303031</v>
      </c>
      <c r="I14" s="62">
        <f t="shared" si="3"/>
        <v>391.00899100899107</v>
      </c>
      <c r="J14" s="62">
        <f t="shared" si="3"/>
        <v>672.75437880785887</v>
      </c>
      <c r="K14" s="62">
        <f t="shared" si="3"/>
        <v>2638.3328759773563</v>
      </c>
      <c r="L14" s="62">
        <f t="shared" si="3"/>
        <v>3062.3473516217118</v>
      </c>
      <c r="M14" s="62">
        <f t="shared" si="3"/>
        <v>2467.8407440692645</v>
      </c>
      <c r="N14" s="62">
        <f t="shared" si="3"/>
        <v>3103.8689119280721</v>
      </c>
      <c r="O14" s="62">
        <f t="shared" si="3"/>
        <v>3721.4935553374694</v>
      </c>
      <c r="P14" s="62">
        <f t="shared" si="3"/>
        <v>3721.4935553374689</v>
      </c>
      <c r="Q14" s="62">
        <f t="shared" si="3"/>
        <v>3721.4935553374689</v>
      </c>
      <c r="R14" s="62">
        <f t="shared" si="3"/>
        <v>3721.4935553374698</v>
      </c>
      <c r="S14" s="62">
        <f t="shared" si="3"/>
        <v>3721.4935553374698</v>
      </c>
      <c r="T14" s="62">
        <f t="shared" si="3"/>
        <v>3721.4935553374698</v>
      </c>
      <c r="U14" s="62">
        <f t="shared" si="3"/>
        <v>3721.4935553374698</v>
      </c>
      <c r="V14" s="62">
        <f t="shared" si="3"/>
        <v>3721.4935553374698</v>
      </c>
      <c r="W14" s="62">
        <f t="shared" si="3"/>
        <v>3721.4935553374698</v>
      </c>
      <c r="X14" s="62">
        <f t="shared" si="3"/>
        <v>3721.4935553374694</v>
      </c>
      <c r="Y14" s="62">
        <f t="shared" si="3"/>
        <v>3721.4935553374698</v>
      </c>
      <c r="Z14" s="62">
        <f t="shared" si="3"/>
        <v>3721.4935553374698</v>
      </c>
      <c r="AA14" s="62">
        <f t="shared" si="3"/>
        <v>3721.4935553374698</v>
      </c>
      <c r="AB14" s="62">
        <f t="shared" si="3"/>
        <v>3721.4935553374698</v>
      </c>
      <c r="AC14" s="62">
        <f>AC11*$B$14</f>
        <v>3721.4936033561185</v>
      </c>
      <c r="AD14" s="62">
        <f t="shared" si="3"/>
        <v>3479.672257182292</v>
      </c>
      <c r="AE14" s="62">
        <f t="shared" si="3"/>
        <v>3370.9602043950786</v>
      </c>
      <c r="AF14" s="62">
        <f t="shared" si="3"/>
        <v>3370.9602043950786</v>
      </c>
      <c r="AG14" s="62">
        <f t="shared" si="3"/>
        <v>3370.9602043950786</v>
      </c>
      <c r="AH14" s="62">
        <f t="shared" si="3"/>
        <v>3370.9602043950786</v>
      </c>
      <c r="AI14" s="62">
        <f t="shared" si="3"/>
        <v>3370.9602469258816</v>
      </c>
      <c r="AJ14" s="62">
        <f t="shared" si="3"/>
        <v>3023.9372731796279</v>
      </c>
      <c r="AK14" s="62">
        <f t="shared" si="3"/>
        <v>2449.4185142985089</v>
      </c>
      <c r="AL14" s="62">
        <f t="shared" si="3"/>
        <v>1253.6527865729011</v>
      </c>
      <c r="AM14" s="62">
        <f t="shared" si="3"/>
        <v>429.73458378217578</v>
      </c>
      <c r="AN14" s="62">
        <f t="shared" si="3"/>
        <v>0</v>
      </c>
      <c r="AO14" s="62">
        <f t="shared" si="3"/>
        <v>0</v>
      </c>
      <c r="AP14" s="62">
        <f t="shared" si="3"/>
        <v>0</v>
      </c>
      <c r="AQ14" s="62">
        <f t="shared" si="3"/>
        <v>0</v>
      </c>
    </row>
    <row r="15" spans="1:43" x14ac:dyDescent="0.35">
      <c r="A15" s="44"/>
      <c r="B15" s="30"/>
      <c r="C15" s="48"/>
      <c r="D15" s="48"/>
      <c r="E15" s="68"/>
      <c r="F15" s="68"/>
      <c r="G15" s="68"/>
      <c r="H15" s="68"/>
      <c r="I15" s="68"/>
      <c r="J15" s="68"/>
      <c r="K15" s="68"/>
      <c r="L15" s="68"/>
      <c r="M15" s="68"/>
      <c r="N15" s="68"/>
      <c r="O15" s="68"/>
      <c r="P15" s="68"/>
      <c r="Q15" s="68"/>
      <c r="R15" s="68"/>
      <c r="S15" s="68"/>
      <c r="T15" s="68"/>
      <c r="U15" s="68"/>
      <c r="V15" s="68"/>
      <c r="W15" s="68"/>
      <c r="X15" s="68"/>
      <c r="Y15" s="68"/>
      <c r="Z15" s="68"/>
      <c r="AA15" s="68"/>
      <c r="AB15" s="68"/>
      <c r="AC15" s="68"/>
      <c r="AD15" s="68"/>
      <c r="AE15" s="68"/>
      <c r="AF15" s="68"/>
      <c r="AG15" s="68"/>
      <c r="AH15" s="68"/>
      <c r="AI15" s="68"/>
      <c r="AJ15" s="68"/>
      <c r="AK15" s="68"/>
      <c r="AL15" s="68"/>
      <c r="AM15" s="68"/>
      <c r="AN15" s="68"/>
      <c r="AO15" s="68"/>
      <c r="AP15" s="68"/>
      <c r="AQ15" s="68"/>
    </row>
    <row r="16" spans="1:43" s="30" customFormat="1" ht="11.5" x14ac:dyDescent="0.25">
      <c r="A16" s="44" t="s">
        <v>213</v>
      </c>
      <c r="B16" s="406">
        <v>0.97</v>
      </c>
      <c r="C16" s="48">
        <f>C14*B16</f>
        <v>56370.665920745931</v>
      </c>
      <c r="D16" s="48">
        <f t="shared" ref="D16:D17" si="4">SUM(E16:AQ16)</f>
        <v>93310.338565703802</v>
      </c>
      <c r="E16" s="62">
        <f>E14*$B$16</f>
        <v>0</v>
      </c>
      <c r="F16" s="62">
        <f t="shared" ref="F16:AQ16" si="5">F14*$B$16</f>
        <v>372.62470862470866</v>
      </c>
      <c r="G16" s="62">
        <f t="shared" si="5"/>
        <v>0</v>
      </c>
      <c r="H16" s="62">
        <f t="shared" si="5"/>
        <v>157.4339393939394</v>
      </c>
      <c r="I16" s="62">
        <f t="shared" si="5"/>
        <v>379.27872127872132</v>
      </c>
      <c r="J16" s="62">
        <f t="shared" si="5"/>
        <v>652.57174744362305</v>
      </c>
      <c r="K16" s="62">
        <f t="shared" si="5"/>
        <v>2559.1828896980355</v>
      </c>
      <c r="L16" s="62">
        <f t="shared" si="5"/>
        <v>2970.4769310730603</v>
      </c>
      <c r="M16" s="62">
        <f t="shared" si="5"/>
        <v>2393.8055217471865</v>
      </c>
      <c r="N16" s="62">
        <f t="shared" si="5"/>
        <v>3010.7528445702296</v>
      </c>
      <c r="O16" s="62">
        <f t="shared" si="5"/>
        <v>3609.8487486773452</v>
      </c>
      <c r="P16" s="62">
        <f t="shared" si="5"/>
        <v>3609.8487486773447</v>
      </c>
      <c r="Q16" s="62">
        <f t="shared" si="5"/>
        <v>3609.8487486773447</v>
      </c>
      <c r="R16" s="62">
        <f t="shared" si="5"/>
        <v>3609.8487486773456</v>
      </c>
      <c r="S16" s="62">
        <f t="shared" si="5"/>
        <v>3609.8487486773456</v>
      </c>
      <c r="T16" s="62">
        <f t="shared" si="5"/>
        <v>3609.8487486773456</v>
      </c>
      <c r="U16" s="62">
        <f t="shared" si="5"/>
        <v>3609.8487486773456</v>
      </c>
      <c r="V16" s="62">
        <f t="shared" si="5"/>
        <v>3609.8487486773456</v>
      </c>
      <c r="W16" s="62">
        <f t="shared" si="5"/>
        <v>3609.8487486773456</v>
      </c>
      <c r="X16" s="62">
        <f t="shared" si="5"/>
        <v>3609.8487486773452</v>
      </c>
      <c r="Y16" s="62">
        <f t="shared" si="5"/>
        <v>3609.8487486773456</v>
      </c>
      <c r="Z16" s="62">
        <f t="shared" si="5"/>
        <v>3609.8487486773456</v>
      </c>
      <c r="AA16" s="62">
        <f t="shared" si="5"/>
        <v>3609.8487486773456</v>
      </c>
      <c r="AB16" s="62">
        <f t="shared" si="5"/>
        <v>3609.8487486773456</v>
      </c>
      <c r="AC16" s="62">
        <f t="shared" si="5"/>
        <v>3609.8487952554347</v>
      </c>
      <c r="AD16" s="62">
        <f t="shared" si="5"/>
        <v>3375.282089466823</v>
      </c>
      <c r="AE16" s="62">
        <f t="shared" si="5"/>
        <v>3269.8313982632262</v>
      </c>
      <c r="AF16" s="62">
        <f t="shared" si="5"/>
        <v>3269.8313982632262</v>
      </c>
      <c r="AG16" s="62">
        <f t="shared" si="5"/>
        <v>3269.8313982632262</v>
      </c>
      <c r="AH16" s="62">
        <f t="shared" si="5"/>
        <v>3269.8313982632262</v>
      </c>
      <c r="AI16" s="62">
        <f t="shared" si="5"/>
        <v>3269.8314395181051</v>
      </c>
      <c r="AJ16" s="62">
        <f t="shared" si="5"/>
        <v>2933.2191549842391</v>
      </c>
      <c r="AK16" s="62">
        <f t="shared" si="5"/>
        <v>2375.9359588695534</v>
      </c>
      <c r="AL16" s="62">
        <f t="shared" si="5"/>
        <v>1216.0432029757139</v>
      </c>
      <c r="AM16" s="62">
        <f t="shared" si="5"/>
        <v>416.84254626871046</v>
      </c>
      <c r="AN16" s="62">
        <f t="shared" si="5"/>
        <v>0</v>
      </c>
      <c r="AO16" s="62">
        <f t="shared" si="5"/>
        <v>0</v>
      </c>
      <c r="AP16" s="62">
        <f t="shared" si="5"/>
        <v>0</v>
      </c>
      <c r="AQ16" s="62">
        <f t="shared" si="5"/>
        <v>0</v>
      </c>
    </row>
    <row r="17" spans="1:45" s="269" customFormat="1" ht="11.5" x14ac:dyDescent="0.25">
      <c r="A17" s="179" t="s">
        <v>214</v>
      </c>
      <c r="B17" s="415">
        <v>0.97</v>
      </c>
      <c r="C17" s="180">
        <f>(C11-C13-C14)*B17</f>
        <v>228191.73937529136</v>
      </c>
      <c r="D17" s="180">
        <f t="shared" si="4"/>
        <v>377725.68606767186</v>
      </c>
      <c r="E17" s="414">
        <f>(E11-E13-E14)*$B$17</f>
        <v>0</v>
      </c>
      <c r="F17" s="414">
        <f>(F11-F13-F14)*$B$17</f>
        <v>1508.4065268065265</v>
      </c>
      <c r="G17" s="414">
        <f t="shared" ref="G17:AQ17" si="6">(G11-G13-G14)*$B$17</f>
        <v>0</v>
      </c>
      <c r="H17" s="414">
        <f>(H11-H13-H14)*$B$17</f>
        <v>637.30175757575751</v>
      </c>
      <c r="I17" s="414">
        <f t="shared" si="6"/>
        <v>1535.3423576423572</v>
      </c>
      <c r="J17" s="414">
        <f t="shared" si="6"/>
        <v>2641.6484475399861</v>
      </c>
      <c r="K17" s="414">
        <f t="shared" si="6"/>
        <v>10359.721416112579</v>
      </c>
      <c r="L17" s="414">
        <f t="shared" si="6"/>
        <v>12024.663654474878</v>
      </c>
      <c r="M17" s="414">
        <f t="shared" si="6"/>
        <v>9690.2641970144577</v>
      </c>
      <c r="N17" s="414">
        <f t="shared" si="6"/>
        <v>12187.702898481135</v>
      </c>
      <c r="O17" s="414">
        <f t="shared" si="6"/>
        <v>14612.878017097273</v>
      </c>
      <c r="P17" s="414">
        <f t="shared" si="6"/>
        <v>14612.878017097266</v>
      </c>
      <c r="Q17" s="414">
        <f t="shared" si="6"/>
        <v>14612.878017097266</v>
      </c>
      <c r="R17" s="414">
        <f t="shared" si="6"/>
        <v>14612.878017097271</v>
      </c>
      <c r="S17" s="414">
        <f t="shared" si="6"/>
        <v>14612.878017097271</v>
      </c>
      <c r="T17" s="414">
        <f t="shared" si="6"/>
        <v>14612.878017097271</v>
      </c>
      <c r="U17" s="414">
        <f t="shared" si="6"/>
        <v>14612.878017097271</v>
      </c>
      <c r="V17" s="414">
        <f t="shared" si="6"/>
        <v>14612.878017097271</v>
      </c>
      <c r="W17" s="414">
        <f t="shared" si="6"/>
        <v>14612.878017097271</v>
      </c>
      <c r="X17" s="414">
        <f t="shared" si="6"/>
        <v>14612.878017097273</v>
      </c>
      <c r="Y17" s="414">
        <f t="shared" si="6"/>
        <v>14612.878017097271</v>
      </c>
      <c r="Z17" s="414">
        <f t="shared" si="6"/>
        <v>14612.878017097271</v>
      </c>
      <c r="AA17" s="414">
        <f t="shared" si="6"/>
        <v>14612.878017097271</v>
      </c>
      <c r="AB17" s="414">
        <f t="shared" si="6"/>
        <v>14612.878017097271</v>
      </c>
      <c r="AC17" s="414">
        <f t="shared" si="6"/>
        <v>14612.87820564809</v>
      </c>
      <c r="AD17" s="414">
        <f t="shared" si="6"/>
        <v>13663.33851653584</v>
      </c>
      <c r="AE17" s="414">
        <f t="shared" si="6"/>
        <v>13236.467975784968</v>
      </c>
      <c r="AF17" s="414">
        <f t="shared" si="6"/>
        <v>13236.467975784968</v>
      </c>
      <c r="AG17" s="414">
        <f t="shared" si="6"/>
        <v>13236.467975784968</v>
      </c>
      <c r="AH17" s="414">
        <f t="shared" si="6"/>
        <v>13236.467975784968</v>
      </c>
      <c r="AI17" s="414">
        <f t="shared" si="6"/>
        <v>13236.46814278712</v>
      </c>
      <c r="AJ17" s="414">
        <f t="shared" si="6"/>
        <v>11873.842006511439</v>
      </c>
      <c r="AK17" s="414">
        <f t="shared" si="6"/>
        <v>9617.9271655403918</v>
      </c>
      <c r="AL17" s="414">
        <f t="shared" si="6"/>
        <v>4922.6137231138227</v>
      </c>
      <c r="AM17" s="414">
        <f t="shared" si="6"/>
        <v>1687.4029093858135</v>
      </c>
      <c r="AN17" s="414">
        <f t="shared" si="6"/>
        <v>0</v>
      </c>
      <c r="AO17" s="414">
        <f t="shared" si="6"/>
        <v>0</v>
      </c>
      <c r="AP17" s="414">
        <f t="shared" si="6"/>
        <v>0</v>
      </c>
      <c r="AQ17" s="414">
        <f t="shared" si="6"/>
        <v>0</v>
      </c>
    </row>
    <row r="18" spans="1:45" x14ac:dyDescent="0.35">
      <c r="A18" s="407"/>
      <c r="B18" s="407"/>
      <c r="C18" s="407"/>
      <c r="D18" s="407"/>
      <c r="E18" s="407"/>
      <c r="F18" s="407"/>
      <c r="G18" s="407"/>
      <c r="H18" s="407"/>
      <c r="I18" s="407"/>
      <c r="J18" s="407"/>
      <c r="K18" s="407"/>
      <c r="L18" s="407"/>
      <c r="M18" s="407"/>
      <c r="N18" s="407"/>
      <c r="O18" s="407"/>
      <c r="P18" s="407"/>
      <c r="Q18" s="407"/>
      <c r="R18" s="407"/>
      <c r="S18" s="407"/>
      <c r="T18" s="407"/>
      <c r="U18" s="407"/>
      <c r="V18" s="407"/>
      <c r="W18" s="407"/>
      <c r="X18" s="407"/>
      <c r="Y18" s="407"/>
      <c r="Z18" s="407"/>
      <c r="AA18" s="407"/>
      <c r="AB18" s="407"/>
      <c r="AC18" s="407"/>
      <c r="AD18" s="407"/>
      <c r="AE18" s="407"/>
      <c r="AF18" s="407"/>
      <c r="AG18" s="407"/>
      <c r="AH18" s="407"/>
      <c r="AI18" s="407"/>
      <c r="AJ18" s="407"/>
      <c r="AK18" s="407"/>
      <c r="AL18" s="407"/>
      <c r="AM18" s="407"/>
      <c r="AN18" s="407"/>
      <c r="AO18" s="407"/>
      <c r="AP18" s="407"/>
      <c r="AQ18" s="407"/>
    </row>
    <row r="20" spans="1:45" x14ac:dyDescent="0.35">
      <c r="A20" s="409" t="s">
        <v>215</v>
      </c>
      <c r="B20" s="214"/>
      <c r="C20" s="214"/>
      <c r="D20" s="214"/>
      <c r="E20" s="214"/>
      <c r="F20" s="214"/>
      <c r="G20" s="214"/>
      <c r="H20" s="214"/>
      <c r="I20" s="214"/>
      <c r="J20" s="214"/>
      <c r="K20" s="214"/>
      <c r="L20" s="214"/>
      <c r="M20" s="214"/>
      <c r="N20" s="214"/>
      <c r="O20" s="214"/>
      <c r="P20" s="214"/>
      <c r="Q20" s="214"/>
      <c r="R20" s="214"/>
      <c r="S20" s="214"/>
      <c r="T20" s="214"/>
      <c r="U20" s="214"/>
      <c r="V20" s="214"/>
      <c r="W20" s="214"/>
      <c r="X20" s="214"/>
      <c r="Y20" s="214"/>
      <c r="Z20" s="214"/>
      <c r="AA20" s="214"/>
      <c r="AB20" s="214"/>
      <c r="AC20" s="214"/>
      <c r="AD20" s="214"/>
      <c r="AE20" s="214"/>
      <c r="AF20" s="214"/>
      <c r="AG20" s="214"/>
      <c r="AH20" s="214"/>
      <c r="AI20" s="214"/>
      <c r="AJ20" s="214"/>
      <c r="AK20" s="214"/>
      <c r="AL20" s="214"/>
      <c r="AM20" s="214"/>
      <c r="AN20" s="214"/>
      <c r="AO20" s="214"/>
      <c r="AP20" s="214"/>
      <c r="AQ20" s="214"/>
      <c r="AR20" s="214"/>
      <c r="AS20" s="214"/>
    </row>
    <row r="21" spans="1:45" s="30" customFormat="1" ht="27" customHeight="1" x14ac:dyDescent="0.25">
      <c r="A21" s="136"/>
      <c r="B21" s="137" t="s">
        <v>92</v>
      </c>
      <c r="C21" s="137" t="s">
        <v>69</v>
      </c>
      <c r="D21" s="137" t="s">
        <v>93</v>
      </c>
      <c r="E21" s="410">
        <v>2000</v>
      </c>
      <c r="F21" s="410">
        <v>2001</v>
      </c>
      <c r="G21" s="411">
        <v>2002</v>
      </c>
      <c r="H21" s="411">
        <v>2003</v>
      </c>
      <c r="I21" s="411">
        <v>2004</v>
      </c>
      <c r="J21" s="411">
        <v>2005</v>
      </c>
      <c r="K21" s="411">
        <v>2006</v>
      </c>
      <c r="L21" s="411">
        <v>2007</v>
      </c>
      <c r="M21" s="411">
        <v>2008</v>
      </c>
      <c r="N21" s="411">
        <v>2009</v>
      </c>
      <c r="O21" s="411">
        <v>2010</v>
      </c>
      <c r="P21" s="411">
        <v>2011</v>
      </c>
      <c r="Q21" s="411">
        <v>2012</v>
      </c>
      <c r="R21" s="411">
        <v>2013</v>
      </c>
      <c r="S21" s="411">
        <v>2014</v>
      </c>
      <c r="T21" s="411">
        <v>2015</v>
      </c>
      <c r="U21" s="411">
        <v>2016</v>
      </c>
      <c r="V21" s="411">
        <v>2017</v>
      </c>
      <c r="W21" s="411">
        <v>2018</v>
      </c>
      <c r="X21" s="411">
        <v>2019</v>
      </c>
      <c r="Y21" s="411">
        <v>2020</v>
      </c>
      <c r="Z21" s="411">
        <v>2021</v>
      </c>
      <c r="AA21" s="411">
        <v>2022</v>
      </c>
      <c r="AB21" s="411">
        <v>2023</v>
      </c>
      <c r="AC21" s="411">
        <v>2024</v>
      </c>
      <c r="AD21" s="411">
        <v>2025</v>
      </c>
      <c r="AE21" s="411">
        <v>2026</v>
      </c>
      <c r="AF21" s="411">
        <v>2027</v>
      </c>
      <c r="AG21" s="411">
        <v>2028</v>
      </c>
      <c r="AH21" s="411">
        <v>2029</v>
      </c>
      <c r="AI21" s="411">
        <v>2030</v>
      </c>
      <c r="AJ21" s="411">
        <v>2031</v>
      </c>
      <c r="AK21" s="411">
        <v>2032</v>
      </c>
      <c r="AL21" s="411">
        <v>2033</v>
      </c>
      <c r="AM21" s="411">
        <v>2034</v>
      </c>
      <c r="AN21" s="411">
        <v>2035</v>
      </c>
      <c r="AO21" s="411">
        <v>2036</v>
      </c>
      <c r="AP21" s="411">
        <v>2037</v>
      </c>
      <c r="AQ21" s="411">
        <v>2038</v>
      </c>
      <c r="AR21" s="411">
        <v>2039</v>
      </c>
      <c r="AS21" s="411">
        <v>2040</v>
      </c>
    </row>
    <row r="22" spans="1:45" x14ac:dyDescent="0.35">
      <c r="A22" s="30" t="s">
        <v>216</v>
      </c>
      <c r="B22" s="412"/>
      <c r="C22" s="48">
        <f>SUM(T22:AS22)</f>
        <v>541456.99495373154</v>
      </c>
      <c r="D22" s="48"/>
      <c r="E22" s="62"/>
      <c r="F22" s="62"/>
      <c r="G22" s="62"/>
      <c r="H22" s="62"/>
      <c r="I22" s="62"/>
      <c r="J22" s="62"/>
      <c r="K22" s="62"/>
      <c r="L22" s="62"/>
      <c r="M22" s="62"/>
      <c r="N22" s="62"/>
      <c r="O22" s="62"/>
      <c r="P22" s="62"/>
      <c r="Q22" s="62"/>
      <c r="R22" s="62"/>
      <c r="S22" s="62"/>
      <c r="T22" s="62">
        <v>53889</v>
      </c>
      <c r="U22" s="62">
        <v>59585.087</v>
      </c>
      <c r="V22" s="62">
        <v>56492</v>
      </c>
      <c r="W22" s="62">
        <v>67045</v>
      </c>
      <c r="X22" s="62">
        <v>101880</v>
      </c>
      <c r="Y22" s="62">
        <v>93715</v>
      </c>
      <c r="Z22" s="62">
        <v>51660</v>
      </c>
      <c r="AA22" s="62">
        <v>24600</v>
      </c>
      <c r="AB22" s="62">
        <f>SUM('Tab 9 - WWTP Capital'!AE26:AL27)-SUM('Tab 8 - WWTP Historic'!U22:AA22)-3008</f>
        <v>32590.907953731541</v>
      </c>
      <c r="AC22" s="62"/>
      <c r="AD22" s="62"/>
      <c r="AE22" s="62"/>
      <c r="AF22" s="62"/>
      <c r="AG22" s="62"/>
      <c r="AH22" s="62"/>
      <c r="AI22" s="62"/>
      <c r="AJ22" s="62"/>
      <c r="AK22" s="62"/>
      <c r="AL22" s="62"/>
      <c r="AM22" s="62"/>
      <c r="AN22" s="62"/>
      <c r="AO22" s="62"/>
      <c r="AP22" s="62"/>
      <c r="AQ22" s="62"/>
      <c r="AR22" s="48"/>
      <c r="AS22" s="62"/>
    </row>
    <row r="23" spans="1:45" x14ac:dyDescent="0.35">
      <c r="A23" s="30" t="s">
        <v>217</v>
      </c>
      <c r="B23" s="412"/>
      <c r="C23" s="48"/>
      <c r="D23" s="48"/>
      <c r="E23" s="62"/>
      <c r="F23" s="62"/>
      <c r="G23" s="62"/>
      <c r="H23" s="62"/>
      <c r="I23" s="62"/>
      <c r="J23" s="62"/>
      <c r="K23" s="62"/>
      <c r="L23" s="62"/>
      <c r="M23" s="62"/>
      <c r="N23" s="62"/>
      <c r="O23" s="62"/>
      <c r="P23" s="62"/>
      <c r="Q23" s="62"/>
      <c r="R23" s="62"/>
      <c r="S23" s="62"/>
      <c r="T23" s="528" t="s">
        <v>218</v>
      </c>
      <c r="U23" s="528" t="s">
        <v>219</v>
      </c>
      <c r="V23" s="528" t="s">
        <v>220</v>
      </c>
      <c r="W23" s="528" t="s">
        <v>221</v>
      </c>
      <c r="X23" s="528" t="s">
        <v>222</v>
      </c>
      <c r="Y23" s="528" t="s">
        <v>223</v>
      </c>
      <c r="Z23" s="528" t="s">
        <v>224</v>
      </c>
      <c r="AA23" s="528" t="s">
        <v>225</v>
      </c>
      <c r="AB23" s="530" t="s">
        <v>226</v>
      </c>
      <c r="AC23" s="177"/>
      <c r="AD23" s="62"/>
      <c r="AE23" s="62"/>
      <c r="AF23" s="62"/>
      <c r="AG23" s="62"/>
      <c r="AH23" s="62"/>
      <c r="AI23" s="62"/>
      <c r="AJ23" s="62"/>
      <c r="AK23" s="62"/>
      <c r="AL23" s="62"/>
      <c r="AM23" s="62"/>
      <c r="AN23" s="62"/>
      <c r="AO23" s="62"/>
      <c r="AP23" s="62"/>
      <c r="AQ23" s="62"/>
      <c r="AR23" s="48"/>
      <c r="AS23" s="62"/>
    </row>
    <row r="24" spans="1:45" x14ac:dyDescent="0.35">
      <c r="A24" s="30" t="s">
        <v>227</v>
      </c>
      <c r="B24" s="412"/>
      <c r="C24" s="48"/>
      <c r="D24" s="48"/>
      <c r="E24" s="62"/>
      <c r="F24" s="62"/>
      <c r="G24" s="62"/>
      <c r="H24" s="62"/>
      <c r="I24" s="62"/>
      <c r="J24" s="62"/>
      <c r="K24" s="62"/>
      <c r="L24" s="62"/>
      <c r="M24" s="62"/>
      <c r="N24" s="62"/>
      <c r="O24" s="62"/>
      <c r="P24" s="62"/>
      <c r="Q24" s="62"/>
      <c r="R24" s="62"/>
      <c r="S24" s="62"/>
      <c r="T24" s="173">
        <v>25</v>
      </c>
      <c r="U24" s="173">
        <v>10</v>
      </c>
      <c r="V24" s="173">
        <v>10</v>
      </c>
      <c r="W24" s="173">
        <v>10</v>
      </c>
      <c r="X24" s="173">
        <v>10</v>
      </c>
      <c r="Y24" s="173">
        <v>10</v>
      </c>
      <c r="Z24" s="173">
        <v>10</v>
      </c>
      <c r="AA24" s="173">
        <v>10</v>
      </c>
      <c r="AB24" s="173"/>
      <c r="AC24" s="177"/>
      <c r="AD24" s="62"/>
      <c r="AE24" s="62"/>
      <c r="AF24" s="62"/>
      <c r="AG24" s="62"/>
      <c r="AH24" s="62"/>
      <c r="AI24" s="62"/>
      <c r="AJ24" s="62"/>
      <c r="AK24" s="62"/>
      <c r="AL24" s="62"/>
      <c r="AM24" s="62"/>
      <c r="AN24" s="62"/>
      <c r="AO24" s="62"/>
      <c r="AP24" s="62"/>
      <c r="AQ24" s="62"/>
      <c r="AR24" s="48"/>
      <c r="AS24" s="62"/>
    </row>
    <row r="25" spans="1:45" x14ac:dyDescent="0.35">
      <c r="A25" s="30" t="s">
        <v>228</v>
      </c>
      <c r="B25" s="412"/>
      <c r="D25" s="48">
        <f>SUM(T25:AS25)</f>
        <v>541457</v>
      </c>
      <c r="E25" s="62"/>
      <c r="F25" s="62"/>
      <c r="G25" s="62"/>
      <c r="H25" s="62"/>
      <c r="I25" s="62"/>
      <c r="J25" s="62"/>
      <c r="K25" s="62"/>
      <c r="L25" s="62"/>
      <c r="M25" s="62"/>
      <c r="N25" s="62"/>
      <c r="O25" s="62"/>
      <c r="P25" s="62"/>
      <c r="Q25" s="62"/>
      <c r="R25" s="62"/>
      <c r="S25" s="62"/>
      <c r="T25" s="62">
        <v>94.809440000000009</v>
      </c>
      <c r="U25" s="62">
        <v>1474.18723</v>
      </c>
      <c r="V25" s="62">
        <v>7638.2373800000005</v>
      </c>
      <c r="W25" s="62">
        <v>12937.49598</v>
      </c>
      <c r="X25" s="62">
        <v>20364.18017</v>
      </c>
      <c r="Y25" s="62">
        <v>30247.552930000002</v>
      </c>
      <c r="Z25" s="62">
        <v>38873.45018</v>
      </c>
      <c r="AA25" s="62">
        <v>43641.900499999989</v>
      </c>
      <c r="AB25" s="62">
        <v>46639.900749999993</v>
      </c>
      <c r="AC25" s="62">
        <v>48279.399909999993</v>
      </c>
      <c r="AD25" s="62">
        <v>49809.470805840916</v>
      </c>
      <c r="AE25" s="62">
        <v>52155.123138597795</v>
      </c>
      <c r="AF25" s="62">
        <v>45873.87303017149</v>
      </c>
      <c r="AG25" s="62">
        <v>40440.843482293065</v>
      </c>
      <c r="AH25" s="62">
        <v>32060.706829866504</v>
      </c>
      <c r="AI25" s="62">
        <v>21289.842892082212</v>
      </c>
      <c r="AJ25" s="62">
        <v>12668.666820578877</v>
      </c>
      <c r="AK25" s="62">
        <v>8234.1762776273608</v>
      </c>
      <c r="AL25" s="62">
        <v>5471.1059758951924</v>
      </c>
      <c r="AM25" s="62">
        <v>4820.9543214316827</v>
      </c>
      <c r="AN25" s="62">
        <v>4397.5805056148838</v>
      </c>
      <c r="AO25" s="62">
        <v>2680.3837000000003</v>
      </c>
      <c r="AP25" s="62">
        <v>2761.72109</v>
      </c>
      <c r="AQ25" s="62">
        <v>2845.5271000000002</v>
      </c>
      <c r="AR25" s="62">
        <v>2931.8766700000001</v>
      </c>
      <c r="AS25" s="62">
        <v>2824.03289</v>
      </c>
    </row>
    <row r="26" spans="1:45" x14ac:dyDescent="0.35">
      <c r="A26" s="30" t="s">
        <v>217</v>
      </c>
      <c r="B26" s="412"/>
      <c r="D26" s="48">
        <f>SUM(T26:AS26)</f>
        <v>89644.507149350582</v>
      </c>
      <c r="E26" s="62"/>
      <c r="F26" s="62"/>
      <c r="G26" s="62"/>
      <c r="H26" s="62"/>
      <c r="I26" s="62"/>
      <c r="J26" s="62"/>
      <c r="K26" s="62"/>
      <c r="L26" s="62"/>
      <c r="M26" s="62"/>
      <c r="N26" s="62"/>
      <c r="O26" s="62"/>
      <c r="P26" s="62"/>
      <c r="Q26" s="62"/>
      <c r="R26" s="62"/>
      <c r="S26" s="62"/>
      <c r="T26" s="62">
        <v>263.32459</v>
      </c>
      <c r="U26" s="62">
        <v>1727.14968</v>
      </c>
      <c r="V26" s="62">
        <v>3182.2043100000001</v>
      </c>
      <c r="W26" s="62">
        <v>4436.7658799999999</v>
      </c>
      <c r="X26" s="62">
        <v>6581.8272300000008</v>
      </c>
      <c r="Y26" s="62">
        <v>7949.8339500000002</v>
      </c>
      <c r="Z26" s="62">
        <v>8405.5192099999986</v>
      </c>
      <c r="AA26" s="62">
        <v>8452.1437700000006</v>
      </c>
      <c r="AB26" s="62">
        <v>8479.4202000000005</v>
      </c>
      <c r="AC26" s="62">
        <v>7548.2180399999997</v>
      </c>
      <c r="AD26" s="62">
        <v>6632.6609501428584</v>
      </c>
      <c r="AE26" s="62">
        <v>6139.8219953372536</v>
      </c>
      <c r="AF26" s="62">
        <v>4887.0215737635654</v>
      </c>
      <c r="AG26" s="62">
        <v>3780.1044716420038</v>
      </c>
      <c r="AH26" s="62">
        <v>2833.5335040685513</v>
      </c>
      <c r="AI26" s="62">
        <v>2145.4609518528478</v>
      </c>
      <c r="AJ26" s="62">
        <v>1634.5256533561833</v>
      </c>
      <c r="AK26" s="62">
        <v>1230.864166307701</v>
      </c>
      <c r="AL26" s="62">
        <v>931.82451803987055</v>
      </c>
      <c r="AM26" s="62">
        <v>731.83841250337935</v>
      </c>
      <c r="AN26" s="62">
        <v>535.76538233641384</v>
      </c>
      <c r="AO26" s="62">
        <v>395.06966</v>
      </c>
      <c r="AP26" s="62">
        <v>313.49095</v>
      </c>
      <c r="AQ26" s="62">
        <v>229.43631999999999</v>
      </c>
      <c r="AR26" s="62">
        <v>142.83064999999999</v>
      </c>
      <c r="AS26" s="62">
        <v>53.851129999999998</v>
      </c>
    </row>
    <row r="27" spans="1:45" x14ac:dyDescent="0.35">
      <c r="A27" s="30"/>
      <c r="B27" s="412"/>
      <c r="D27" s="48"/>
      <c r="E27" s="62"/>
      <c r="F27" s="62"/>
      <c r="G27" s="62"/>
      <c r="H27" s="62"/>
      <c r="I27" s="62"/>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c r="AI27" s="62"/>
      <c r="AJ27" s="62"/>
      <c r="AK27" s="62"/>
      <c r="AL27" s="62"/>
      <c r="AM27" s="62"/>
      <c r="AN27" s="62"/>
      <c r="AO27" s="62"/>
      <c r="AP27" s="62"/>
      <c r="AQ27" s="62"/>
      <c r="AR27" s="48"/>
      <c r="AS27" s="62"/>
    </row>
    <row r="28" spans="1:45" s="408" customFormat="1" x14ac:dyDescent="0.35">
      <c r="A28" s="269" t="s">
        <v>229</v>
      </c>
      <c r="B28" s="413"/>
      <c r="D28" s="180">
        <f>SUM(D25:D26)</f>
        <v>631101.5071493506</v>
      </c>
      <c r="E28" s="414"/>
      <c r="F28" s="414"/>
      <c r="G28" s="414"/>
      <c r="H28" s="414"/>
      <c r="I28" s="414"/>
      <c r="J28" s="414"/>
      <c r="K28" s="414"/>
      <c r="L28" s="414"/>
      <c r="M28" s="414"/>
      <c r="N28" s="414"/>
      <c r="O28" s="414"/>
      <c r="P28" s="414"/>
      <c r="Q28" s="414"/>
      <c r="R28" s="414"/>
      <c r="S28" s="414"/>
      <c r="T28" s="414">
        <f t="shared" ref="T28:AS28" si="7">SUM(T25:T26)</f>
        <v>358.13403</v>
      </c>
      <c r="U28" s="414">
        <f t="shared" si="7"/>
        <v>3201.33691</v>
      </c>
      <c r="V28" s="414">
        <f t="shared" si="7"/>
        <v>10820.44169</v>
      </c>
      <c r="W28" s="414">
        <f t="shared" si="7"/>
        <v>17374.261859999999</v>
      </c>
      <c r="X28" s="414">
        <f t="shared" si="7"/>
        <v>26946.007400000002</v>
      </c>
      <c r="Y28" s="414">
        <f t="shared" si="7"/>
        <v>38197.386880000005</v>
      </c>
      <c r="Z28" s="414">
        <f t="shared" si="7"/>
        <v>47278.969389999998</v>
      </c>
      <c r="AA28" s="414">
        <f>SUM(AA25:AA26)</f>
        <v>52094.044269999991</v>
      </c>
      <c r="AB28" s="414">
        <f t="shared" si="7"/>
        <v>55119.320949999994</v>
      </c>
      <c r="AC28" s="414">
        <f t="shared" si="7"/>
        <v>55827.617949999993</v>
      </c>
      <c r="AD28" s="414">
        <f t="shared" si="7"/>
        <v>56442.131755983777</v>
      </c>
      <c r="AE28" s="414">
        <f t="shared" si="7"/>
        <v>58294.945133935049</v>
      </c>
      <c r="AF28" s="414">
        <f t="shared" si="7"/>
        <v>50760.894603935056</v>
      </c>
      <c r="AG28" s="414">
        <f t="shared" si="7"/>
        <v>44220.947953935072</v>
      </c>
      <c r="AH28" s="414">
        <f t="shared" si="7"/>
        <v>34894.240333935057</v>
      </c>
      <c r="AI28" s="414">
        <f t="shared" si="7"/>
        <v>23435.30384393506</v>
      </c>
      <c r="AJ28" s="414">
        <f t="shared" si="7"/>
        <v>14303.192473935062</v>
      </c>
      <c r="AK28" s="414">
        <f t="shared" si="7"/>
        <v>9465.0404439350623</v>
      </c>
      <c r="AL28" s="414">
        <f t="shared" si="7"/>
        <v>6402.9304939350632</v>
      </c>
      <c r="AM28" s="414">
        <f t="shared" si="7"/>
        <v>5552.7927339350617</v>
      </c>
      <c r="AN28" s="414">
        <f t="shared" si="7"/>
        <v>4933.3458879512973</v>
      </c>
      <c r="AO28" s="414">
        <f t="shared" si="7"/>
        <v>3075.4533600000004</v>
      </c>
      <c r="AP28" s="414">
        <f t="shared" si="7"/>
        <v>3075.2120399999999</v>
      </c>
      <c r="AQ28" s="414">
        <f t="shared" si="7"/>
        <v>3074.96342</v>
      </c>
      <c r="AR28" s="180">
        <f t="shared" si="7"/>
        <v>3074.70732</v>
      </c>
      <c r="AS28" s="414">
        <f t="shared" si="7"/>
        <v>2877.88402</v>
      </c>
    </row>
    <row r="29" spans="1:45" x14ac:dyDescent="0.35">
      <c r="A29" s="407"/>
      <c r="B29" s="407"/>
      <c r="C29" s="407"/>
      <c r="D29" s="407"/>
      <c r="E29" s="407"/>
      <c r="F29" s="407"/>
      <c r="G29" s="407"/>
      <c r="H29" s="407"/>
      <c r="I29" s="407"/>
      <c r="J29" s="407"/>
      <c r="K29" s="407"/>
      <c r="L29" s="407"/>
      <c r="M29" s="407"/>
      <c r="N29" s="407"/>
      <c r="O29" s="407"/>
      <c r="P29" s="407"/>
      <c r="Q29" s="407"/>
      <c r="R29" s="407"/>
      <c r="S29" s="407"/>
      <c r="T29" s="407"/>
      <c r="U29" s="407"/>
      <c r="V29" s="407"/>
      <c r="W29" s="407"/>
      <c r="X29" s="407"/>
      <c r="Y29" s="407"/>
      <c r="Z29" s="407"/>
      <c r="AA29" s="407"/>
      <c r="AB29" s="407"/>
      <c r="AC29" s="407"/>
      <c r="AD29" s="407"/>
      <c r="AE29" s="407"/>
      <c r="AF29" s="407"/>
      <c r="AG29" s="407"/>
      <c r="AH29" s="407"/>
      <c r="AI29" s="407"/>
      <c r="AJ29" s="407"/>
      <c r="AK29" s="407"/>
      <c r="AL29" s="407"/>
      <c r="AM29" s="407"/>
      <c r="AN29" s="407"/>
      <c r="AO29" s="407"/>
      <c r="AP29" s="407"/>
      <c r="AQ29" s="407"/>
      <c r="AR29" s="407"/>
      <c r="AS29" s="407"/>
    </row>
    <row r="31" spans="1:45" x14ac:dyDescent="0.35">
      <c r="A31" s="200" t="s">
        <v>108</v>
      </c>
      <c r="B31" s="416"/>
      <c r="C31" s="417">
        <f>C17+C22</f>
        <v>769648.73432902293</v>
      </c>
      <c r="D31" s="417">
        <f>D17+D28</f>
        <v>1008827.1932170225</v>
      </c>
      <c r="E31" s="418">
        <f>E17+E28</f>
        <v>0</v>
      </c>
      <c r="F31" s="418">
        <f t="shared" ref="F31:AS31" si="8">F17+F28</f>
        <v>1508.4065268065265</v>
      </c>
      <c r="G31" s="418">
        <f t="shared" si="8"/>
        <v>0</v>
      </c>
      <c r="H31" s="418">
        <f>H17+H28</f>
        <v>637.30175757575751</v>
      </c>
      <c r="I31" s="418">
        <f t="shared" si="8"/>
        <v>1535.3423576423572</v>
      </c>
      <c r="J31" s="418">
        <f t="shared" si="8"/>
        <v>2641.6484475399861</v>
      </c>
      <c r="K31" s="418">
        <f t="shared" si="8"/>
        <v>10359.721416112579</v>
      </c>
      <c r="L31" s="418">
        <f t="shared" si="8"/>
        <v>12024.663654474878</v>
      </c>
      <c r="M31" s="418">
        <f t="shared" si="8"/>
        <v>9690.2641970144577</v>
      </c>
      <c r="N31" s="418">
        <f t="shared" si="8"/>
        <v>12187.702898481135</v>
      </c>
      <c r="O31" s="418">
        <f t="shared" si="8"/>
        <v>14612.878017097273</v>
      </c>
      <c r="P31" s="418">
        <f t="shared" si="8"/>
        <v>14612.878017097266</v>
      </c>
      <c r="Q31" s="418">
        <f t="shared" si="8"/>
        <v>14612.878017097266</v>
      </c>
      <c r="R31" s="418">
        <f t="shared" si="8"/>
        <v>14612.878017097271</v>
      </c>
      <c r="S31" s="418">
        <f t="shared" si="8"/>
        <v>14612.878017097271</v>
      </c>
      <c r="T31" s="418">
        <f>T17+T28</f>
        <v>14971.012047097271</v>
      </c>
      <c r="U31" s="418">
        <f t="shared" si="8"/>
        <v>17814.214927097273</v>
      </c>
      <c r="V31" s="418">
        <f t="shared" si="8"/>
        <v>25433.319707097271</v>
      </c>
      <c r="W31" s="418">
        <f t="shared" si="8"/>
        <v>31987.13987709727</v>
      </c>
      <c r="X31" s="418">
        <f t="shared" si="8"/>
        <v>41558.885417097277</v>
      </c>
      <c r="Y31" s="418">
        <f t="shared" si="8"/>
        <v>52810.26489709728</v>
      </c>
      <c r="Z31" s="418">
        <f t="shared" si="8"/>
        <v>61891.847407097273</v>
      </c>
      <c r="AA31" s="418">
        <f t="shared" si="8"/>
        <v>66706.922287097259</v>
      </c>
      <c r="AB31" s="418">
        <f t="shared" si="8"/>
        <v>69732.198967097269</v>
      </c>
      <c r="AC31" s="418">
        <f t="shared" si="8"/>
        <v>70440.496155648085</v>
      </c>
      <c r="AD31" s="418">
        <f t="shared" si="8"/>
        <v>70105.470272519611</v>
      </c>
      <c r="AE31" s="418">
        <f t="shared" si="8"/>
        <v>71531.413109720015</v>
      </c>
      <c r="AF31" s="418">
        <f t="shared" si="8"/>
        <v>63997.362579720022</v>
      </c>
      <c r="AG31" s="418">
        <f t="shared" si="8"/>
        <v>57457.415929720039</v>
      </c>
      <c r="AH31" s="418">
        <f t="shared" si="8"/>
        <v>48130.708309720023</v>
      </c>
      <c r="AI31" s="418">
        <f t="shared" si="8"/>
        <v>36671.771986722182</v>
      </c>
      <c r="AJ31" s="418">
        <f t="shared" si="8"/>
        <v>26177.034480446498</v>
      </c>
      <c r="AK31" s="418">
        <f t="shared" si="8"/>
        <v>19082.967609475454</v>
      </c>
      <c r="AL31" s="418">
        <f t="shared" si="8"/>
        <v>11325.544217048886</v>
      </c>
      <c r="AM31" s="418">
        <f t="shared" si="8"/>
        <v>7240.1956433208752</v>
      </c>
      <c r="AN31" s="418">
        <f t="shared" si="8"/>
        <v>4933.3458879512973</v>
      </c>
      <c r="AO31" s="418">
        <f t="shared" si="8"/>
        <v>3075.4533600000004</v>
      </c>
      <c r="AP31" s="418">
        <f t="shared" si="8"/>
        <v>3075.2120399999999</v>
      </c>
      <c r="AQ31" s="418">
        <f t="shared" si="8"/>
        <v>3074.96342</v>
      </c>
      <c r="AR31" s="418">
        <f t="shared" si="8"/>
        <v>3074.70732</v>
      </c>
      <c r="AS31" s="418">
        <f t="shared" si="8"/>
        <v>2877.88402</v>
      </c>
    </row>
    <row r="35" spans="4:4" x14ac:dyDescent="0.35">
      <c r="D35" s="48"/>
    </row>
    <row r="36" spans="4:4" x14ac:dyDescent="0.35">
      <c r="D36" s="48"/>
    </row>
    <row r="38" spans="4:4" x14ac:dyDescent="0.35">
      <c r="D38" s="48"/>
    </row>
    <row r="39" spans="4:4" x14ac:dyDescent="0.35">
      <c r="D39" s="48"/>
    </row>
    <row r="41" spans="4:4" x14ac:dyDescent="0.35">
      <c r="D41" s="48"/>
    </row>
    <row r="42" spans="4:4" x14ac:dyDescent="0.35">
      <c r="D42" s="48"/>
    </row>
  </sheetData>
  <mergeCells count="1">
    <mergeCell ref="A2:V2"/>
  </mergeCells>
  <pageMargins left="0.7" right="0.7" top="0.75" bottom="0.75" header="0.3" footer="0.3"/>
  <pageSetup paperSize="5" scale="35" orientation="landscape" r:id="rId1"/>
  <ignoredErrors>
    <ignoredError sqref="T28:Z28" formulaRange="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C62053-56B7-45C5-B5EC-3BF44211E19B}">
  <sheetPr>
    <pageSetUpPr fitToPage="1"/>
  </sheetPr>
  <dimension ref="A1:AZ31"/>
  <sheetViews>
    <sheetView showGridLines="0" zoomScaleNormal="100" workbookViewId="0">
      <pane xSplit="2" topLeftCell="C1" activePane="topRight" state="frozen"/>
      <selection activeCell="V72" sqref="V72"/>
      <selection pane="topRight"/>
    </sheetView>
  </sheetViews>
  <sheetFormatPr defaultColWidth="9.1796875" defaultRowHeight="12.5" x14ac:dyDescent="0.25"/>
  <cols>
    <col min="1" max="1" width="45.81640625" style="87" customWidth="1"/>
    <col min="2" max="4" width="18.453125" style="87" customWidth="1"/>
    <col min="5" max="5" width="25.453125" style="87" customWidth="1"/>
    <col min="6" max="6" width="16.54296875" style="87" customWidth="1"/>
    <col min="7" max="7" width="22.453125" style="87" customWidth="1"/>
    <col min="8" max="8" width="18.54296875" style="87" customWidth="1"/>
    <col min="9" max="11" width="13.1796875" style="87" customWidth="1"/>
    <col min="12" max="12" width="14.453125" style="87" customWidth="1"/>
    <col min="13" max="28" width="13.1796875" style="87" customWidth="1"/>
    <col min="29" max="29" width="14.453125" style="87" customWidth="1"/>
    <col min="30" max="30" width="13.1796875" style="87" customWidth="1"/>
    <col min="31" max="31" width="18.54296875" style="87" customWidth="1"/>
    <col min="32" max="32" width="19.453125" style="87" customWidth="1"/>
    <col min="33" max="34" width="22.1796875" style="87" customWidth="1"/>
    <col min="35" max="35" width="22.453125" style="87" customWidth="1"/>
    <col min="36" max="36" width="17.81640625" style="87" customWidth="1"/>
    <col min="37" max="37" width="18.453125" style="87" customWidth="1"/>
    <col min="38" max="38" width="22.453125" style="87" customWidth="1"/>
    <col min="39" max="51" width="16.1796875" style="87" customWidth="1"/>
    <col min="52" max="52" width="18" style="87" customWidth="1"/>
    <col min="53" max="55" width="10.54296875" style="87" bestFit="1" customWidth="1"/>
    <col min="56" max="57" width="10.453125" style="87" bestFit="1" customWidth="1"/>
    <col min="58" max="59" width="10.54296875" style="87" bestFit="1" customWidth="1"/>
    <col min="60" max="60" width="12" style="87" bestFit="1" customWidth="1"/>
    <col min="61" max="16384" width="9.1796875" style="87"/>
  </cols>
  <sheetData>
    <row r="1" spans="1:52" ht="15.5" x14ac:dyDescent="0.35">
      <c r="A1" s="564" t="s">
        <v>109</v>
      </c>
      <c r="B1" s="564"/>
      <c r="C1" s="564"/>
    </row>
    <row r="2" spans="1:52" ht="28.5" customHeight="1" x14ac:dyDescent="0.25">
      <c r="A2" s="565" t="s">
        <v>32</v>
      </c>
      <c r="B2" s="565"/>
      <c r="C2" s="565"/>
      <c r="D2" s="565"/>
      <c r="E2" s="565"/>
    </row>
    <row r="3" spans="1:52" s="16" customFormat="1" ht="13.5" customHeight="1" x14ac:dyDescent="0.25">
      <c r="A3" s="216" t="s">
        <v>111</v>
      </c>
      <c r="B3" s="420"/>
      <c r="C3" s="420"/>
      <c r="D3" s="420"/>
      <c r="E3" s="420"/>
      <c r="F3" s="420"/>
      <c r="G3" s="420"/>
      <c r="H3" s="420"/>
      <c r="I3" s="420"/>
      <c r="J3" s="420"/>
      <c r="K3" s="420"/>
      <c r="L3" s="420"/>
      <c r="M3" s="420"/>
      <c r="N3" s="420"/>
      <c r="O3" s="420"/>
      <c r="P3" s="420"/>
      <c r="Q3" s="420"/>
      <c r="R3" s="420"/>
      <c r="S3" s="420"/>
      <c r="T3" s="420"/>
      <c r="U3" s="420"/>
      <c r="V3" s="420"/>
      <c r="W3" s="420"/>
      <c r="X3" s="420"/>
      <c r="Y3" s="420"/>
      <c r="Z3" s="420"/>
      <c r="AA3" s="420"/>
      <c r="AB3" s="420"/>
      <c r="AC3" s="420"/>
      <c r="AD3" s="420"/>
      <c r="AE3" s="420"/>
      <c r="AF3" s="420"/>
      <c r="AG3" s="420"/>
      <c r="AH3" s="420"/>
      <c r="AI3" s="420"/>
      <c r="AJ3" s="420"/>
      <c r="AK3" s="420"/>
      <c r="AL3" s="420"/>
      <c r="AM3" s="420"/>
      <c r="AN3" s="420"/>
      <c r="AO3" s="420"/>
      <c r="AP3" s="420"/>
      <c r="AQ3" s="420"/>
      <c r="AR3" s="420"/>
      <c r="AS3" s="420"/>
      <c r="AT3" s="420"/>
      <c r="AU3" s="420"/>
      <c r="AV3" s="420"/>
      <c r="AW3" s="420"/>
      <c r="AX3" s="420"/>
      <c r="AY3" s="420"/>
      <c r="AZ3" s="362"/>
    </row>
    <row r="4" spans="1:52" s="16" customFormat="1" ht="34.5" customHeight="1" x14ac:dyDescent="0.25">
      <c r="A4" s="552" t="s">
        <v>112</v>
      </c>
      <c r="B4" s="550" t="s">
        <v>113</v>
      </c>
      <c r="C4" s="548" t="s">
        <v>114</v>
      </c>
      <c r="D4" s="548" t="s">
        <v>115</v>
      </c>
      <c r="E4" s="508" t="s">
        <v>230</v>
      </c>
      <c r="F4" s="509"/>
      <c r="G4" s="509"/>
      <c r="H4" s="509"/>
      <c r="I4" s="509"/>
      <c r="J4" s="509"/>
      <c r="K4" s="509"/>
      <c r="L4" s="509"/>
      <c r="M4" s="510"/>
      <c r="N4" s="511"/>
      <c r="O4" s="509"/>
      <c r="P4" s="509"/>
      <c r="Q4" s="509"/>
      <c r="R4" s="509"/>
      <c r="S4" s="509"/>
      <c r="T4" s="509"/>
      <c r="U4" s="509"/>
      <c r="V4" s="509"/>
      <c r="W4" s="509"/>
      <c r="X4" s="509"/>
      <c r="Y4" s="509"/>
      <c r="Z4" s="512"/>
      <c r="AA4" s="542" t="s">
        <v>231</v>
      </c>
      <c r="AB4" s="543"/>
      <c r="AC4" s="543"/>
      <c r="AD4" s="544"/>
      <c r="AE4" s="566" t="s">
        <v>117</v>
      </c>
      <c r="AF4" s="566"/>
      <c r="AG4" s="566"/>
      <c r="AH4" s="566"/>
      <c r="AI4" s="566"/>
      <c r="AJ4" s="566"/>
      <c r="AK4" s="566"/>
      <c r="AL4" s="566"/>
      <c r="AM4" s="566"/>
      <c r="AN4" s="566"/>
      <c r="AO4" s="566"/>
      <c r="AP4" s="566"/>
      <c r="AQ4" s="566"/>
      <c r="AR4" s="566"/>
      <c r="AS4" s="566"/>
      <c r="AT4" s="566"/>
      <c r="AU4" s="566"/>
      <c r="AV4" s="566"/>
      <c r="AW4" s="566"/>
      <c r="AX4" s="566"/>
      <c r="AY4" s="566"/>
      <c r="AZ4" s="567"/>
    </row>
    <row r="5" spans="1:52" s="16" customFormat="1" ht="14.25" customHeight="1" x14ac:dyDescent="0.25">
      <c r="A5" s="553"/>
      <c r="B5" s="551"/>
      <c r="C5" s="549"/>
      <c r="D5" s="549"/>
      <c r="E5" s="217">
        <v>2016</v>
      </c>
      <c r="F5" s="217">
        <f t="shared" ref="F5:M5" si="0">+E5+1</f>
        <v>2017</v>
      </c>
      <c r="G5" s="217">
        <f t="shared" si="0"/>
        <v>2018</v>
      </c>
      <c r="H5" s="217">
        <f t="shared" si="0"/>
        <v>2019</v>
      </c>
      <c r="I5" s="217">
        <f t="shared" si="0"/>
        <v>2020</v>
      </c>
      <c r="J5" s="217">
        <f t="shared" si="0"/>
        <v>2021</v>
      </c>
      <c r="K5" s="217">
        <f t="shared" si="0"/>
        <v>2022</v>
      </c>
      <c r="L5" s="217">
        <f t="shared" si="0"/>
        <v>2023</v>
      </c>
      <c r="M5" s="217">
        <f t="shared" si="0"/>
        <v>2024</v>
      </c>
      <c r="N5" s="217">
        <f t="shared" ref="N5" si="1">+M5+1</f>
        <v>2025</v>
      </c>
      <c r="O5" s="217">
        <f t="shared" ref="O5" si="2">+N5+1</f>
        <v>2026</v>
      </c>
      <c r="P5" s="217">
        <f t="shared" ref="P5" si="3">+O5+1</f>
        <v>2027</v>
      </c>
      <c r="Q5" s="217">
        <f t="shared" ref="Q5" si="4">+P5+1</f>
        <v>2028</v>
      </c>
      <c r="R5" s="217">
        <f t="shared" ref="R5" si="5">+Q5+1</f>
        <v>2029</v>
      </c>
      <c r="S5" s="217">
        <f t="shared" ref="S5" si="6">+R5+1</f>
        <v>2030</v>
      </c>
      <c r="T5" s="217">
        <f t="shared" ref="T5" si="7">+S5+1</f>
        <v>2031</v>
      </c>
      <c r="U5" s="217">
        <f t="shared" ref="U5" si="8">+T5+1</f>
        <v>2032</v>
      </c>
      <c r="V5" s="217">
        <f t="shared" ref="V5" si="9">+U5+1</f>
        <v>2033</v>
      </c>
      <c r="W5" s="217">
        <f t="shared" ref="W5" si="10">+V5+1</f>
        <v>2034</v>
      </c>
      <c r="X5" s="217">
        <f t="shared" ref="X5" si="11">+W5+1</f>
        <v>2035</v>
      </c>
      <c r="Y5" s="217">
        <f t="shared" ref="Y5" si="12">+X5+1</f>
        <v>2036</v>
      </c>
      <c r="Z5" s="217" t="s">
        <v>65</v>
      </c>
      <c r="AA5" s="435" t="s">
        <v>119</v>
      </c>
      <c r="AB5" s="217" t="s">
        <v>120</v>
      </c>
      <c r="AC5" s="217" t="s">
        <v>121</v>
      </c>
      <c r="AD5" s="223" t="s">
        <v>122</v>
      </c>
      <c r="AE5" s="217">
        <v>2016</v>
      </c>
      <c r="AF5" s="217">
        <f t="shared" ref="AF5:AM5" si="13">+AE5+1</f>
        <v>2017</v>
      </c>
      <c r="AG5" s="217">
        <f t="shared" si="13"/>
        <v>2018</v>
      </c>
      <c r="AH5" s="217">
        <f t="shared" si="13"/>
        <v>2019</v>
      </c>
      <c r="AI5" s="217">
        <f t="shared" si="13"/>
        <v>2020</v>
      </c>
      <c r="AJ5" s="217">
        <f t="shared" si="13"/>
        <v>2021</v>
      </c>
      <c r="AK5" s="217">
        <f t="shared" si="13"/>
        <v>2022</v>
      </c>
      <c r="AL5" s="217">
        <f t="shared" si="13"/>
        <v>2023</v>
      </c>
      <c r="AM5" s="217">
        <f t="shared" si="13"/>
        <v>2024</v>
      </c>
      <c r="AN5" s="217">
        <f t="shared" ref="AN5" si="14">+AM5+1</f>
        <v>2025</v>
      </c>
      <c r="AO5" s="217">
        <f t="shared" ref="AO5" si="15">+AN5+1</f>
        <v>2026</v>
      </c>
      <c r="AP5" s="217">
        <f t="shared" ref="AP5" si="16">+AO5+1</f>
        <v>2027</v>
      </c>
      <c r="AQ5" s="217">
        <f t="shared" ref="AQ5" si="17">+AP5+1</f>
        <v>2028</v>
      </c>
      <c r="AR5" s="217">
        <f t="shared" ref="AR5" si="18">+AQ5+1</f>
        <v>2029</v>
      </c>
      <c r="AS5" s="217">
        <f t="shared" ref="AS5" si="19">+AR5+1</f>
        <v>2030</v>
      </c>
      <c r="AT5" s="217">
        <f t="shared" ref="AT5" si="20">+AS5+1</f>
        <v>2031</v>
      </c>
      <c r="AU5" s="217">
        <f t="shared" ref="AU5" si="21">+AT5+1</f>
        <v>2032</v>
      </c>
      <c r="AV5" s="217">
        <f t="shared" ref="AV5" si="22">+AU5+1</f>
        <v>2033</v>
      </c>
      <c r="AW5" s="217">
        <f t="shared" ref="AW5" si="23">+AV5+1</f>
        <v>2034</v>
      </c>
      <c r="AX5" s="217">
        <f t="shared" ref="AX5" si="24">+AW5+1</f>
        <v>2035</v>
      </c>
      <c r="AY5" s="217">
        <f t="shared" ref="AY5" si="25">+AX5+1</f>
        <v>2036</v>
      </c>
      <c r="AZ5" s="223" t="s">
        <v>65</v>
      </c>
    </row>
    <row r="6" spans="1:52" s="16" customFormat="1" ht="11.5" x14ac:dyDescent="0.25">
      <c r="A6" s="16" t="s">
        <v>232</v>
      </c>
      <c r="B6" s="388" t="s">
        <v>233</v>
      </c>
      <c r="C6" s="388" t="s">
        <v>130</v>
      </c>
      <c r="D6" s="388" t="s">
        <v>125</v>
      </c>
      <c r="E6" s="421">
        <v>4877.8822818080671</v>
      </c>
      <c r="F6" s="421">
        <v>18823.128630320363</v>
      </c>
      <c r="G6" s="421">
        <v>16616.566390452361</v>
      </c>
      <c r="H6" s="421">
        <v>766.28971739550673</v>
      </c>
      <c r="I6" s="421">
        <v>12.671210201859681</v>
      </c>
      <c r="J6" s="421">
        <v>12.839884267659007</v>
      </c>
      <c r="K6" s="421">
        <v>0</v>
      </c>
      <c r="L6" s="421">
        <v>0</v>
      </c>
      <c r="M6" s="421">
        <v>0</v>
      </c>
      <c r="N6" s="421">
        <v>0</v>
      </c>
      <c r="O6" s="421">
        <v>0</v>
      </c>
      <c r="P6" s="421">
        <v>0</v>
      </c>
      <c r="Q6" s="421">
        <v>0</v>
      </c>
      <c r="R6" s="421">
        <v>0</v>
      </c>
      <c r="S6" s="421">
        <v>0</v>
      </c>
      <c r="T6" s="421">
        <v>0</v>
      </c>
      <c r="U6" s="421"/>
      <c r="V6" s="421"/>
      <c r="W6" s="421"/>
      <c r="X6" s="421"/>
      <c r="Y6" s="421"/>
      <c r="Z6" s="422">
        <f>SUM(E6:Y6)</f>
        <v>41109.378114445812</v>
      </c>
      <c r="AA6" s="423">
        <v>1</v>
      </c>
      <c r="AB6" s="424">
        <v>0.443</v>
      </c>
      <c r="AC6" s="424">
        <v>0.32300000000000001</v>
      </c>
      <c r="AD6" s="425">
        <v>0.23499999999999999</v>
      </c>
      <c r="AE6" s="20">
        <f>+E6*($AB6+$AC6)</f>
        <v>3736.4578278649797</v>
      </c>
      <c r="AF6" s="20">
        <f t="shared" ref="AF6:AY6" si="26">+F6*($AB6+$AC6)</f>
        <v>14418.516530825398</v>
      </c>
      <c r="AG6" s="20">
        <f t="shared" si="26"/>
        <v>12728.289855086508</v>
      </c>
      <c r="AH6" s="20">
        <f t="shared" si="26"/>
        <v>586.97792352495821</v>
      </c>
      <c r="AI6" s="20">
        <f t="shared" si="26"/>
        <v>9.7061470146245163</v>
      </c>
      <c r="AJ6" s="20">
        <f t="shared" si="26"/>
        <v>9.8353513490267996</v>
      </c>
      <c r="AK6" s="20">
        <f t="shared" si="26"/>
        <v>0</v>
      </c>
      <c r="AL6" s="20">
        <f t="shared" si="26"/>
        <v>0</v>
      </c>
      <c r="AM6" s="20">
        <f t="shared" si="26"/>
        <v>0</v>
      </c>
      <c r="AN6" s="20">
        <f t="shared" si="26"/>
        <v>0</v>
      </c>
      <c r="AO6" s="20">
        <f t="shared" si="26"/>
        <v>0</v>
      </c>
      <c r="AP6" s="20">
        <f t="shared" si="26"/>
        <v>0</v>
      </c>
      <c r="AQ6" s="20">
        <f t="shared" si="26"/>
        <v>0</v>
      </c>
      <c r="AR6" s="20">
        <f t="shared" si="26"/>
        <v>0</v>
      </c>
      <c r="AS6" s="20">
        <f t="shared" si="26"/>
        <v>0</v>
      </c>
      <c r="AT6" s="20">
        <f t="shared" si="26"/>
        <v>0</v>
      </c>
      <c r="AU6" s="20">
        <f t="shared" si="26"/>
        <v>0</v>
      </c>
      <c r="AV6" s="20">
        <f t="shared" si="26"/>
        <v>0</v>
      </c>
      <c r="AW6" s="20">
        <f t="shared" si="26"/>
        <v>0</v>
      </c>
      <c r="AX6" s="20">
        <f t="shared" si="26"/>
        <v>0</v>
      </c>
      <c r="AY6" s="20">
        <f t="shared" si="26"/>
        <v>0</v>
      </c>
      <c r="AZ6" s="426">
        <f>SUM(AE6:AY6)</f>
        <v>31489.783635665495</v>
      </c>
    </row>
    <row r="7" spans="1:52" s="16" customFormat="1" ht="11.5" x14ac:dyDescent="0.25">
      <c r="A7" s="16" t="s">
        <v>234</v>
      </c>
      <c r="B7" s="388" t="s">
        <v>233</v>
      </c>
      <c r="C7" s="388" t="s">
        <v>130</v>
      </c>
      <c r="D7" s="388" t="s">
        <v>125</v>
      </c>
      <c r="E7" s="421">
        <v>167.26351386774326</v>
      </c>
      <c r="F7" s="421">
        <v>68.787818137145607</v>
      </c>
      <c r="G7" s="421">
        <v>1044.7642324025448</v>
      </c>
      <c r="H7" s="421">
        <v>1563.7327219348865</v>
      </c>
      <c r="I7" s="421">
        <v>707.03373262136256</v>
      </c>
      <c r="J7" s="421">
        <v>282.87081154090146</v>
      </c>
      <c r="K7" s="421">
        <v>327.33833598201772</v>
      </c>
      <c r="L7" s="421">
        <v>446.98117359999998</v>
      </c>
      <c r="M7" s="421">
        <v>0</v>
      </c>
      <c r="N7" s="421">
        <v>0</v>
      </c>
      <c r="O7" s="421">
        <v>0</v>
      </c>
      <c r="P7" s="421">
        <v>0</v>
      </c>
      <c r="Q7" s="421">
        <v>0</v>
      </c>
      <c r="R7" s="421">
        <v>0</v>
      </c>
      <c r="S7" s="421">
        <v>0</v>
      </c>
      <c r="T7" s="421">
        <v>0</v>
      </c>
      <c r="U7" s="421"/>
      <c r="V7" s="421"/>
      <c r="W7" s="421"/>
      <c r="X7" s="421"/>
      <c r="Y7" s="421"/>
      <c r="Z7" s="422">
        <f t="shared" ref="Z7:Z18" si="27">SUM(E7:Y7)</f>
        <v>4608.7723400866025</v>
      </c>
      <c r="AA7" s="423">
        <v>1</v>
      </c>
      <c r="AB7" s="424">
        <v>0.443</v>
      </c>
      <c r="AC7" s="424">
        <v>0.32300000000000001</v>
      </c>
      <c r="AD7" s="425">
        <v>0.23499999999999999</v>
      </c>
      <c r="AE7" s="20">
        <f t="shared" ref="AE7:AE18" si="28">+E7*($AB7+$AC7)</f>
        <v>128.12385162269135</v>
      </c>
      <c r="AF7" s="20">
        <f t="shared" ref="AF7:AF18" si="29">+F7*($AB7+$AC7)</f>
        <v>52.691468693053537</v>
      </c>
      <c r="AG7" s="20">
        <f t="shared" ref="AG7:AG18" si="30">+G7*($AB7+$AC7)</f>
        <v>800.28940202034937</v>
      </c>
      <c r="AH7" s="20">
        <f t="shared" ref="AH7:AH18" si="31">+H7*($AB7+$AC7)</f>
        <v>1197.8192650021231</v>
      </c>
      <c r="AI7" s="20">
        <f t="shared" ref="AI7:AI18" si="32">+I7*($AB7+$AC7)</f>
        <v>541.58783918796371</v>
      </c>
      <c r="AJ7" s="20">
        <f t="shared" ref="AJ7:AJ18" si="33">+J7*($AB7+$AC7)</f>
        <v>216.67904164033052</v>
      </c>
      <c r="AK7" s="20">
        <f t="shared" ref="AK7:AK18" si="34">+K7*($AB7+$AC7)</f>
        <v>250.74116536222559</v>
      </c>
      <c r="AL7" s="20">
        <f t="shared" ref="AL7:AL18" si="35">+L7*($AB7+$AC7)</f>
        <v>342.38757897760001</v>
      </c>
      <c r="AM7" s="20">
        <f t="shared" ref="AM7:AM18" si="36">+M7*($AB7+$AC7)</f>
        <v>0</v>
      </c>
      <c r="AN7" s="20">
        <f t="shared" ref="AN7:AN18" si="37">+N7*($AB7+$AC7)</f>
        <v>0</v>
      </c>
      <c r="AO7" s="20">
        <f t="shared" ref="AO7:AO18" si="38">+O7*($AB7+$AC7)</f>
        <v>0</v>
      </c>
      <c r="AP7" s="20">
        <f t="shared" ref="AP7:AP18" si="39">+P7*($AB7+$AC7)</f>
        <v>0</v>
      </c>
      <c r="AQ7" s="20">
        <f t="shared" ref="AQ7:AQ18" si="40">+Q7*($AB7+$AC7)</f>
        <v>0</v>
      </c>
      <c r="AR7" s="20">
        <f t="shared" ref="AR7:AR18" si="41">+R7*($AB7+$AC7)</f>
        <v>0</v>
      </c>
      <c r="AS7" s="20">
        <f t="shared" ref="AS7:AS18" si="42">+S7*($AB7+$AC7)</f>
        <v>0</v>
      </c>
      <c r="AT7" s="20">
        <f t="shared" ref="AT7:AT18" si="43">+T7*($AB7+$AC7)</f>
        <v>0</v>
      </c>
      <c r="AU7" s="20">
        <f t="shared" ref="AU7:AU18" si="44">+U7*($AB7+$AC7)</f>
        <v>0</v>
      </c>
      <c r="AV7" s="20">
        <f t="shared" ref="AV7:AV18" si="45">+V7*($AB7+$AC7)</f>
        <v>0</v>
      </c>
      <c r="AW7" s="20">
        <f t="shared" ref="AW7:AW18" si="46">+W7*($AB7+$AC7)</f>
        <v>0</v>
      </c>
      <c r="AX7" s="20">
        <f t="shared" ref="AX7:AX18" si="47">+X7*($AB7+$AC7)</f>
        <v>0</v>
      </c>
      <c r="AY7" s="20">
        <f t="shared" ref="AY7:AY18" si="48">+Y7*($AB7+$AC7)</f>
        <v>0</v>
      </c>
      <c r="AZ7" s="426">
        <f t="shared" ref="AZ7:AZ18" si="49">SUM(AE7:AY7)</f>
        <v>3530.3196125063378</v>
      </c>
    </row>
    <row r="8" spans="1:52" s="16" customFormat="1" ht="11.5" x14ac:dyDescent="0.25">
      <c r="A8" s="16" t="s">
        <v>235</v>
      </c>
      <c r="B8" s="388" t="s">
        <v>233</v>
      </c>
      <c r="C8" s="388" t="s">
        <v>236</v>
      </c>
      <c r="D8" s="388" t="s">
        <v>125</v>
      </c>
      <c r="E8" s="421">
        <v>0</v>
      </c>
      <c r="F8" s="421">
        <v>0</v>
      </c>
      <c r="G8" s="421">
        <v>0</v>
      </c>
      <c r="H8" s="421">
        <v>0</v>
      </c>
      <c r="I8" s="421"/>
      <c r="J8" s="421">
        <v>0</v>
      </c>
      <c r="K8" s="421">
        <v>0</v>
      </c>
      <c r="L8" s="421">
        <v>0</v>
      </c>
      <c r="M8" s="421">
        <v>0</v>
      </c>
      <c r="N8" s="421">
        <v>0</v>
      </c>
      <c r="O8" s="421">
        <v>0</v>
      </c>
      <c r="P8" s="421">
        <v>0</v>
      </c>
      <c r="Q8" s="421">
        <v>0</v>
      </c>
      <c r="R8" s="421">
        <v>0</v>
      </c>
      <c r="S8" s="421">
        <v>0</v>
      </c>
      <c r="T8" s="421">
        <v>0</v>
      </c>
      <c r="U8" s="421"/>
      <c r="V8" s="421"/>
      <c r="W8" s="421"/>
      <c r="X8" s="421"/>
      <c r="Y8" s="421"/>
      <c r="Z8" s="422">
        <f t="shared" si="27"/>
        <v>0</v>
      </c>
      <c r="AA8" s="423">
        <v>0.5</v>
      </c>
      <c r="AB8" s="424">
        <v>0.22149999999999997</v>
      </c>
      <c r="AC8" s="424">
        <v>0.16149999999999998</v>
      </c>
      <c r="AD8" s="425">
        <v>0.11749999999999999</v>
      </c>
      <c r="AE8" s="20">
        <f t="shared" si="28"/>
        <v>0</v>
      </c>
      <c r="AF8" s="20">
        <f t="shared" si="29"/>
        <v>0</v>
      </c>
      <c r="AG8" s="20">
        <f t="shared" si="30"/>
        <v>0</v>
      </c>
      <c r="AH8" s="20">
        <f t="shared" si="31"/>
        <v>0</v>
      </c>
      <c r="AI8" s="20">
        <f t="shared" si="32"/>
        <v>0</v>
      </c>
      <c r="AJ8" s="20">
        <f t="shared" si="33"/>
        <v>0</v>
      </c>
      <c r="AK8" s="20">
        <f t="shared" si="34"/>
        <v>0</v>
      </c>
      <c r="AL8" s="20">
        <f t="shared" si="35"/>
        <v>0</v>
      </c>
      <c r="AM8" s="20">
        <f t="shared" si="36"/>
        <v>0</v>
      </c>
      <c r="AN8" s="20">
        <f t="shared" si="37"/>
        <v>0</v>
      </c>
      <c r="AO8" s="20">
        <f t="shared" si="38"/>
        <v>0</v>
      </c>
      <c r="AP8" s="20">
        <f t="shared" si="39"/>
        <v>0</v>
      </c>
      <c r="AQ8" s="20">
        <f t="shared" si="40"/>
        <v>0</v>
      </c>
      <c r="AR8" s="20">
        <f t="shared" si="41"/>
        <v>0</v>
      </c>
      <c r="AS8" s="20">
        <f t="shared" si="42"/>
        <v>0</v>
      </c>
      <c r="AT8" s="20">
        <f t="shared" si="43"/>
        <v>0</v>
      </c>
      <c r="AU8" s="20">
        <f t="shared" si="44"/>
        <v>0</v>
      </c>
      <c r="AV8" s="20">
        <f t="shared" si="45"/>
        <v>0</v>
      </c>
      <c r="AW8" s="20">
        <f t="shared" si="46"/>
        <v>0</v>
      </c>
      <c r="AX8" s="20">
        <f t="shared" si="47"/>
        <v>0</v>
      </c>
      <c r="AY8" s="20">
        <f t="shared" si="48"/>
        <v>0</v>
      </c>
      <c r="AZ8" s="426">
        <f t="shared" si="49"/>
        <v>0</v>
      </c>
    </row>
    <row r="9" spans="1:52" s="16" customFormat="1" ht="11.5" x14ac:dyDescent="0.25">
      <c r="A9" s="16" t="s">
        <v>237</v>
      </c>
      <c r="B9" s="388" t="s">
        <v>233</v>
      </c>
      <c r="C9" s="388" t="s">
        <v>130</v>
      </c>
      <c r="D9" s="388" t="s">
        <v>125</v>
      </c>
      <c r="E9" s="421">
        <v>250.34051022388996</v>
      </c>
      <c r="F9" s="421">
        <v>774.55661763517401</v>
      </c>
      <c r="G9" s="421">
        <v>1453.1236256419854</v>
      </c>
      <c r="H9" s="421">
        <v>7413.3591644856097</v>
      </c>
      <c r="I9" s="421">
        <v>4217.1982673879857</v>
      </c>
      <c r="J9" s="421">
        <v>972.41620785636235</v>
      </c>
      <c r="K9" s="421">
        <v>277.89538677996512</v>
      </c>
      <c r="L9" s="421">
        <v>22.786233599999999</v>
      </c>
      <c r="M9" s="421">
        <v>0</v>
      </c>
      <c r="N9" s="421">
        <v>0</v>
      </c>
      <c r="O9" s="421">
        <v>0</v>
      </c>
      <c r="P9" s="421">
        <v>0</v>
      </c>
      <c r="Q9" s="421">
        <v>0</v>
      </c>
      <c r="R9" s="421">
        <v>0</v>
      </c>
      <c r="S9" s="421">
        <v>0</v>
      </c>
      <c r="T9" s="421">
        <v>0</v>
      </c>
      <c r="U9" s="421"/>
      <c r="V9" s="421"/>
      <c r="W9" s="421"/>
      <c r="X9" s="421"/>
      <c r="Y9" s="421"/>
      <c r="Z9" s="422">
        <f t="shared" si="27"/>
        <v>15381.676013610971</v>
      </c>
      <c r="AA9" s="423">
        <v>0.5</v>
      </c>
      <c r="AB9" s="424">
        <v>0.22149999999999997</v>
      </c>
      <c r="AC9" s="424">
        <v>0.16149999999999998</v>
      </c>
      <c r="AD9" s="425">
        <v>0.11749999999999999</v>
      </c>
      <c r="AE9" s="20">
        <f t="shared" si="28"/>
        <v>95.880415415749837</v>
      </c>
      <c r="AF9" s="20">
        <f t="shared" si="29"/>
        <v>296.65518455427161</v>
      </c>
      <c r="AG9" s="20">
        <f t="shared" si="30"/>
        <v>556.54634862088039</v>
      </c>
      <c r="AH9" s="20">
        <f t="shared" si="31"/>
        <v>2839.316559997988</v>
      </c>
      <c r="AI9" s="20">
        <f t="shared" si="32"/>
        <v>1615.1869364095983</v>
      </c>
      <c r="AJ9" s="20">
        <f t="shared" si="33"/>
        <v>372.43540760898674</v>
      </c>
      <c r="AK9" s="20">
        <f t="shared" si="34"/>
        <v>106.43393313672662</v>
      </c>
      <c r="AL9" s="20">
        <f t="shared" si="35"/>
        <v>8.7271274687999991</v>
      </c>
      <c r="AM9" s="20">
        <f t="shared" si="36"/>
        <v>0</v>
      </c>
      <c r="AN9" s="20">
        <f t="shared" si="37"/>
        <v>0</v>
      </c>
      <c r="AO9" s="20">
        <f t="shared" si="38"/>
        <v>0</v>
      </c>
      <c r="AP9" s="20">
        <f t="shared" si="39"/>
        <v>0</v>
      </c>
      <c r="AQ9" s="20">
        <f t="shared" si="40"/>
        <v>0</v>
      </c>
      <c r="AR9" s="20">
        <f t="shared" si="41"/>
        <v>0</v>
      </c>
      <c r="AS9" s="20">
        <f t="shared" si="42"/>
        <v>0</v>
      </c>
      <c r="AT9" s="20">
        <f t="shared" si="43"/>
        <v>0</v>
      </c>
      <c r="AU9" s="20">
        <f t="shared" si="44"/>
        <v>0</v>
      </c>
      <c r="AV9" s="20">
        <f t="shared" si="45"/>
        <v>0</v>
      </c>
      <c r="AW9" s="20">
        <f t="shared" si="46"/>
        <v>0</v>
      </c>
      <c r="AX9" s="20">
        <f t="shared" si="47"/>
        <v>0</v>
      </c>
      <c r="AY9" s="20">
        <f t="shared" si="48"/>
        <v>0</v>
      </c>
      <c r="AZ9" s="426">
        <f t="shared" si="49"/>
        <v>5891.1819132130013</v>
      </c>
    </row>
    <row r="10" spans="1:52" s="16" customFormat="1" ht="11.5" x14ac:dyDescent="0.25">
      <c r="A10" s="16" t="s">
        <v>238</v>
      </c>
      <c r="B10" s="388" t="s">
        <v>233</v>
      </c>
      <c r="C10" s="388" t="s">
        <v>130</v>
      </c>
      <c r="D10" s="388" t="s">
        <v>125</v>
      </c>
      <c r="E10" s="421">
        <v>45023.272269705514</v>
      </c>
      <c r="F10" s="421">
        <v>36406.055291851815</v>
      </c>
      <c r="G10" s="421">
        <v>1975.3764597490474</v>
      </c>
      <c r="H10" s="421">
        <v>939.05480232067771</v>
      </c>
      <c r="I10" s="421">
        <v>133.03730667197729</v>
      </c>
      <c r="J10" s="421">
        <v>-0.16708849758282651</v>
      </c>
      <c r="K10" s="421">
        <v>0.95113795970391035</v>
      </c>
      <c r="L10" s="421">
        <v>0</v>
      </c>
      <c r="M10" s="421">
        <v>0</v>
      </c>
      <c r="N10" s="421">
        <v>0</v>
      </c>
      <c r="O10" s="421">
        <v>0</v>
      </c>
      <c r="P10" s="421">
        <v>0</v>
      </c>
      <c r="Q10" s="421">
        <v>0</v>
      </c>
      <c r="R10" s="421">
        <v>0</v>
      </c>
      <c r="S10" s="421">
        <v>0</v>
      </c>
      <c r="T10" s="421">
        <v>0</v>
      </c>
      <c r="U10" s="421"/>
      <c r="V10" s="421"/>
      <c r="W10" s="421"/>
      <c r="X10" s="421"/>
      <c r="Y10" s="421"/>
      <c r="Z10" s="422">
        <f t="shared" si="27"/>
        <v>84477.580179761164</v>
      </c>
      <c r="AA10" s="423">
        <v>0.5</v>
      </c>
      <c r="AB10" s="424">
        <v>0.22149999999999997</v>
      </c>
      <c r="AC10" s="424">
        <v>0.16149999999999998</v>
      </c>
      <c r="AD10" s="425">
        <v>0.11749999999999999</v>
      </c>
      <c r="AE10" s="20">
        <f t="shared" si="28"/>
        <v>17243.913279297209</v>
      </c>
      <c r="AF10" s="20">
        <f t="shared" si="29"/>
        <v>13943.519176779244</v>
      </c>
      <c r="AG10" s="20">
        <f t="shared" si="30"/>
        <v>756.56918408388503</v>
      </c>
      <c r="AH10" s="20">
        <f t="shared" si="31"/>
        <v>359.65798928881952</v>
      </c>
      <c r="AI10" s="20">
        <f t="shared" si="32"/>
        <v>50.953288455367293</v>
      </c>
      <c r="AJ10" s="20">
        <f t="shared" si="33"/>
        <v>-6.3994894574222541E-2</v>
      </c>
      <c r="AK10" s="20">
        <f t="shared" si="34"/>
        <v>0.36428583856659763</v>
      </c>
      <c r="AL10" s="20">
        <f t="shared" si="35"/>
        <v>0</v>
      </c>
      <c r="AM10" s="20">
        <f t="shared" si="36"/>
        <v>0</v>
      </c>
      <c r="AN10" s="20">
        <f t="shared" si="37"/>
        <v>0</v>
      </c>
      <c r="AO10" s="20">
        <f t="shared" si="38"/>
        <v>0</v>
      </c>
      <c r="AP10" s="20">
        <f t="shared" si="39"/>
        <v>0</v>
      </c>
      <c r="AQ10" s="20">
        <f t="shared" si="40"/>
        <v>0</v>
      </c>
      <c r="AR10" s="20">
        <f t="shared" si="41"/>
        <v>0</v>
      </c>
      <c r="AS10" s="20">
        <f t="shared" si="42"/>
        <v>0</v>
      </c>
      <c r="AT10" s="20">
        <f t="shared" si="43"/>
        <v>0</v>
      </c>
      <c r="AU10" s="20">
        <f t="shared" si="44"/>
        <v>0</v>
      </c>
      <c r="AV10" s="20">
        <f t="shared" si="45"/>
        <v>0</v>
      </c>
      <c r="AW10" s="20">
        <f t="shared" si="46"/>
        <v>0</v>
      </c>
      <c r="AX10" s="20">
        <f t="shared" si="47"/>
        <v>0</v>
      </c>
      <c r="AY10" s="20">
        <f t="shared" si="48"/>
        <v>0</v>
      </c>
      <c r="AZ10" s="426">
        <f t="shared" si="49"/>
        <v>32354.913208848513</v>
      </c>
    </row>
    <row r="11" spans="1:52" s="16" customFormat="1" ht="11.5" x14ac:dyDescent="0.25">
      <c r="A11" s="16" t="s">
        <v>239</v>
      </c>
      <c r="B11" s="388" t="s">
        <v>233</v>
      </c>
      <c r="C11" s="388" t="s">
        <v>240</v>
      </c>
      <c r="D11" s="388" t="s">
        <v>125</v>
      </c>
      <c r="E11" s="421">
        <v>0</v>
      </c>
      <c r="F11" s="421">
        <v>0</v>
      </c>
      <c r="G11" s="421">
        <v>0</v>
      </c>
      <c r="H11" s="421">
        <v>0</v>
      </c>
      <c r="I11" s="421">
        <v>0</v>
      </c>
      <c r="J11" s="421">
        <v>0</v>
      </c>
      <c r="K11" s="421">
        <v>0</v>
      </c>
      <c r="L11" s="421">
        <v>0</v>
      </c>
      <c r="M11" s="421">
        <v>0</v>
      </c>
      <c r="N11" s="421">
        <v>1523.15696</v>
      </c>
      <c r="O11" s="421">
        <v>6214.4815200000003</v>
      </c>
      <c r="P11" s="421">
        <v>15846.9272</v>
      </c>
      <c r="Q11" s="421">
        <v>8081.9325600000002</v>
      </c>
      <c r="R11" s="421">
        <v>0</v>
      </c>
      <c r="S11" s="421">
        <v>0</v>
      </c>
      <c r="T11" s="421">
        <v>0</v>
      </c>
      <c r="U11" s="421"/>
      <c r="V11" s="421"/>
      <c r="W11" s="421"/>
      <c r="X11" s="421"/>
      <c r="Y11" s="421"/>
      <c r="Z11" s="422">
        <f t="shared" si="27"/>
        <v>31666.498240000001</v>
      </c>
      <c r="AA11" s="423">
        <v>0.8</v>
      </c>
      <c r="AB11" s="424">
        <v>0.35439999999999999</v>
      </c>
      <c r="AC11" s="424">
        <v>0.25839999999999996</v>
      </c>
      <c r="AD11" s="425">
        <v>0.188</v>
      </c>
      <c r="AE11" s="20">
        <f t="shared" si="28"/>
        <v>0</v>
      </c>
      <c r="AF11" s="20">
        <f t="shared" si="29"/>
        <v>0</v>
      </c>
      <c r="AG11" s="20">
        <f t="shared" si="30"/>
        <v>0</v>
      </c>
      <c r="AH11" s="20">
        <f t="shared" si="31"/>
        <v>0</v>
      </c>
      <c r="AI11" s="20">
        <f t="shared" si="32"/>
        <v>0</v>
      </c>
      <c r="AJ11" s="20">
        <f t="shared" si="33"/>
        <v>0</v>
      </c>
      <c r="AK11" s="20">
        <f t="shared" si="34"/>
        <v>0</v>
      </c>
      <c r="AL11" s="20">
        <f t="shared" si="35"/>
        <v>0</v>
      </c>
      <c r="AM11" s="20">
        <f t="shared" si="36"/>
        <v>0</v>
      </c>
      <c r="AN11" s="20">
        <f t="shared" si="37"/>
        <v>933.39058508800008</v>
      </c>
      <c r="AO11" s="20">
        <f t="shared" si="38"/>
        <v>3808.2342754560004</v>
      </c>
      <c r="AP11" s="20">
        <f t="shared" si="39"/>
        <v>9710.9969881600009</v>
      </c>
      <c r="AQ11" s="20">
        <f t="shared" si="40"/>
        <v>4952.6082727680005</v>
      </c>
      <c r="AR11" s="20">
        <f t="shared" si="41"/>
        <v>0</v>
      </c>
      <c r="AS11" s="20">
        <f t="shared" si="42"/>
        <v>0</v>
      </c>
      <c r="AT11" s="20">
        <f t="shared" si="43"/>
        <v>0</v>
      </c>
      <c r="AU11" s="20">
        <f t="shared" si="44"/>
        <v>0</v>
      </c>
      <c r="AV11" s="20">
        <f t="shared" si="45"/>
        <v>0</v>
      </c>
      <c r="AW11" s="20">
        <f t="shared" si="46"/>
        <v>0</v>
      </c>
      <c r="AX11" s="20">
        <f t="shared" si="47"/>
        <v>0</v>
      </c>
      <c r="AY11" s="20">
        <f t="shared" si="48"/>
        <v>0</v>
      </c>
      <c r="AZ11" s="426">
        <f t="shared" si="49"/>
        <v>19405.230121472003</v>
      </c>
    </row>
    <row r="12" spans="1:52" s="16" customFormat="1" ht="11.5" x14ac:dyDescent="0.25">
      <c r="A12" s="16" t="s">
        <v>241</v>
      </c>
      <c r="B12" s="388" t="s">
        <v>233</v>
      </c>
      <c r="C12" s="388" t="s">
        <v>242</v>
      </c>
      <c r="D12" s="388" t="s">
        <v>125</v>
      </c>
      <c r="E12" s="421">
        <v>23754.744981338448</v>
      </c>
      <c r="F12" s="421">
        <v>27839.076167814375</v>
      </c>
      <c r="G12" s="421">
        <v>87353.14330142703</v>
      </c>
      <c r="H12" s="421">
        <v>116775.73836072248</v>
      </c>
      <c r="I12" s="421">
        <v>107629.8847886375</v>
      </c>
      <c r="J12" s="421">
        <v>49726.611301460754</v>
      </c>
      <c r="K12" s="421">
        <v>30127.590833533584</v>
      </c>
      <c r="L12" s="421">
        <v>29969.508399999995</v>
      </c>
      <c r="M12" s="421">
        <v>31457.68288</v>
      </c>
      <c r="N12" s="421">
        <v>54616.639999999999</v>
      </c>
      <c r="O12" s="421">
        <v>28798.639999999999</v>
      </c>
      <c r="P12" s="421">
        <v>68754.400000000009</v>
      </c>
      <c r="Q12" s="421">
        <v>69951.44</v>
      </c>
      <c r="R12" s="421">
        <v>7514</v>
      </c>
      <c r="S12" s="421">
        <v>136.24</v>
      </c>
      <c r="T12" s="421">
        <v>0</v>
      </c>
      <c r="U12" s="421"/>
      <c r="V12" s="421"/>
      <c r="W12" s="421"/>
      <c r="X12" s="421"/>
      <c r="Y12" s="421"/>
      <c r="Z12" s="422">
        <f t="shared" si="27"/>
        <v>734405.34101493424</v>
      </c>
      <c r="AA12" s="423">
        <v>1</v>
      </c>
      <c r="AB12" s="424">
        <v>0.443</v>
      </c>
      <c r="AC12" s="424">
        <v>0.32300000000000001</v>
      </c>
      <c r="AD12" s="425">
        <v>0.23499999999999999</v>
      </c>
      <c r="AE12" s="20">
        <f t="shared" si="28"/>
        <v>18196.134655705253</v>
      </c>
      <c r="AF12" s="20">
        <f t="shared" si="29"/>
        <v>21324.732344545813</v>
      </c>
      <c r="AG12" s="20">
        <f t="shared" si="30"/>
        <v>66912.507768893105</v>
      </c>
      <c r="AH12" s="20">
        <f t="shared" si="31"/>
        <v>89450.215584313424</v>
      </c>
      <c r="AI12" s="20">
        <f t="shared" si="32"/>
        <v>82444.491748096334</v>
      </c>
      <c r="AJ12" s="20">
        <f t="shared" si="33"/>
        <v>38090.584256918941</v>
      </c>
      <c r="AK12" s="20">
        <f t="shared" si="34"/>
        <v>23077.734578486725</v>
      </c>
      <c r="AL12" s="20">
        <f t="shared" si="35"/>
        <v>22956.643434399997</v>
      </c>
      <c r="AM12" s="20">
        <f t="shared" si="36"/>
        <v>24096.585086080002</v>
      </c>
      <c r="AN12" s="20">
        <f t="shared" si="37"/>
        <v>41836.346239999999</v>
      </c>
      <c r="AO12" s="20">
        <f t="shared" si="38"/>
        <v>22059.758239999999</v>
      </c>
      <c r="AP12" s="20">
        <f t="shared" si="39"/>
        <v>52665.870400000007</v>
      </c>
      <c r="AQ12" s="20">
        <f t="shared" si="40"/>
        <v>53582.803040000006</v>
      </c>
      <c r="AR12" s="20">
        <f t="shared" si="41"/>
        <v>5755.7240000000002</v>
      </c>
      <c r="AS12" s="20">
        <f t="shared" si="42"/>
        <v>104.35984000000001</v>
      </c>
      <c r="AT12" s="20">
        <f t="shared" si="43"/>
        <v>0</v>
      </c>
      <c r="AU12" s="20">
        <f t="shared" si="44"/>
        <v>0</v>
      </c>
      <c r="AV12" s="20">
        <f t="shared" si="45"/>
        <v>0</v>
      </c>
      <c r="AW12" s="20">
        <f t="shared" si="46"/>
        <v>0</v>
      </c>
      <c r="AX12" s="20">
        <f t="shared" si="47"/>
        <v>0</v>
      </c>
      <c r="AY12" s="20">
        <f t="shared" si="48"/>
        <v>0</v>
      </c>
      <c r="AZ12" s="426">
        <f t="shared" si="49"/>
        <v>562554.49121743964</v>
      </c>
    </row>
    <row r="13" spans="1:52" s="16" customFormat="1" ht="11.5" x14ac:dyDescent="0.25">
      <c r="A13" s="16" t="s">
        <v>243</v>
      </c>
      <c r="B13" s="388" t="s">
        <v>244</v>
      </c>
      <c r="C13" s="388" t="s">
        <v>130</v>
      </c>
      <c r="D13" s="388" t="s">
        <v>125</v>
      </c>
      <c r="E13" s="421">
        <v>156.76025691692797</v>
      </c>
      <c r="F13" s="421">
        <v>92.604535454174169</v>
      </c>
      <c r="G13" s="421">
        <v>49.151220104452669</v>
      </c>
      <c r="H13" s="421">
        <v>0.51718490411213935</v>
      </c>
      <c r="I13" s="421">
        <v>0</v>
      </c>
      <c r="J13" s="421">
        <v>0</v>
      </c>
      <c r="K13" s="421">
        <v>0</v>
      </c>
      <c r="L13" s="421">
        <v>0</v>
      </c>
      <c r="M13" s="421">
        <v>0</v>
      </c>
      <c r="N13" s="421">
        <v>0</v>
      </c>
      <c r="O13" s="421">
        <v>0</v>
      </c>
      <c r="P13" s="421">
        <v>0</v>
      </c>
      <c r="Q13" s="421">
        <v>0</v>
      </c>
      <c r="R13" s="421">
        <v>0</v>
      </c>
      <c r="S13" s="421">
        <v>0</v>
      </c>
      <c r="T13" s="421">
        <v>0</v>
      </c>
      <c r="U13" s="421"/>
      <c r="V13" s="421"/>
      <c r="W13" s="421"/>
      <c r="X13" s="421"/>
      <c r="Y13" s="421"/>
      <c r="Z13" s="422">
        <f t="shared" si="27"/>
        <v>299.03319737966694</v>
      </c>
      <c r="AA13" s="423">
        <v>1</v>
      </c>
      <c r="AB13" s="424">
        <v>0.315</v>
      </c>
      <c r="AC13" s="424">
        <v>0.443</v>
      </c>
      <c r="AD13" s="425">
        <v>0.24199999999999999</v>
      </c>
      <c r="AE13" s="20">
        <f t="shared" si="28"/>
        <v>118.82427474303141</v>
      </c>
      <c r="AF13" s="20">
        <f t="shared" si="29"/>
        <v>70.194237874264019</v>
      </c>
      <c r="AG13" s="20">
        <f t="shared" si="30"/>
        <v>37.256624839175124</v>
      </c>
      <c r="AH13" s="20">
        <f t="shared" si="31"/>
        <v>0.39202615731700163</v>
      </c>
      <c r="AI13" s="20">
        <f t="shared" si="32"/>
        <v>0</v>
      </c>
      <c r="AJ13" s="20">
        <f t="shared" si="33"/>
        <v>0</v>
      </c>
      <c r="AK13" s="20">
        <f t="shared" si="34"/>
        <v>0</v>
      </c>
      <c r="AL13" s="20">
        <f t="shared" si="35"/>
        <v>0</v>
      </c>
      <c r="AM13" s="20">
        <f t="shared" si="36"/>
        <v>0</v>
      </c>
      <c r="AN13" s="20">
        <f t="shared" si="37"/>
        <v>0</v>
      </c>
      <c r="AO13" s="20">
        <f t="shared" si="38"/>
        <v>0</v>
      </c>
      <c r="AP13" s="20">
        <f t="shared" si="39"/>
        <v>0</v>
      </c>
      <c r="AQ13" s="20">
        <f t="shared" si="40"/>
        <v>0</v>
      </c>
      <c r="AR13" s="20">
        <f t="shared" si="41"/>
        <v>0</v>
      </c>
      <c r="AS13" s="20">
        <f t="shared" si="42"/>
        <v>0</v>
      </c>
      <c r="AT13" s="20">
        <f t="shared" si="43"/>
        <v>0</v>
      </c>
      <c r="AU13" s="20">
        <f t="shared" si="44"/>
        <v>0</v>
      </c>
      <c r="AV13" s="20">
        <f t="shared" si="45"/>
        <v>0</v>
      </c>
      <c r="AW13" s="20">
        <f t="shared" si="46"/>
        <v>0</v>
      </c>
      <c r="AX13" s="20">
        <f t="shared" si="47"/>
        <v>0</v>
      </c>
      <c r="AY13" s="20">
        <f t="shared" si="48"/>
        <v>0</v>
      </c>
      <c r="AZ13" s="426">
        <f t="shared" si="49"/>
        <v>226.66716361378752</v>
      </c>
    </row>
    <row r="14" spans="1:52" s="16" customFormat="1" ht="11.5" x14ac:dyDescent="0.25">
      <c r="A14" s="16" t="s">
        <v>245</v>
      </c>
      <c r="B14" s="388" t="s">
        <v>233</v>
      </c>
      <c r="C14" s="388" t="s">
        <v>246</v>
      </c>
      <c r="D14" s="388" t="s">
        <v>125</v>
      </c>
      <c r="E14" s="421">
        <v>0</v>
      </c>
      <c r="F14" s="421">
        <v>0</v>
      </c>
      <c r="G14" s="421">
        <v>0</v>
      </c>
      <c r="H14" s="421">
        <v>0</v>
      </c>
      <c r="I14" s="421">
        <v>0</v>
      </c>
      <c r="J14" s="421">
        <v>0</v>
      </c>
      <c r="K14" s="421">
        <v>0</v>
      </c>
      <c r="L14" s="421">
        <v>0</v>
      </c>
      <c r="M14" s="421">
        <v>574.12159999999994</v>
      </c>
      <c r="N14" s="421">
        <v>4392.0333600000004</v>
      </c>
      <c r="O14" s="421">
        <v>8959.7487199999996</v>
      </c>
      <c r="P14" s="421">
        <v>4569.47192</v>
      </c>
      <c r="Q14" s="421">
        <v>0</v>
      </c>
      <c r="R14" s="421">
        <v>0</v>
      </c>
      <c r="S14" s="421">
        <v>0</v>
      </c>
      <c r="T14" s="421">
        <v>0</v>
      </c>
      <c r="U14" s="421"/>
      <c r="V14" s="421"/>
      <c r="W14" s="421"/>
      <c r="X14" s="421"/>
      <c r="Y14" s="421"/>
      <c r="Z14" s="422">
        <f t="shared" si="27"/>
        <v>18495.375599999999</v>
      </c>
      <c r="AA14" s="423">
        <v>0.2</v>
      </c>
      <c r="AB14" s="424">
        <v>8.8599999999999998E-2</v>
      </c>
      <c r="AC14" s="424">
        <v>6.4599999999999991E-2</v>
      </c>
      <c r="AD14" s="425">
        <v>4.7E-2</v>
      </c>
      <c r="AE14" s="20">
        <f t="shared" si="28"/>
        <v>0</v>
      </c>
      <c r="AF14" s="20">
        <f t="shared" si="29"/>
        <v>0</v>
      </c>
      <c r="AG14" s="20">
        <f t="shared" si="30"/>
        <v>0</v>
      </c>
      <c r="AH14" s="20">
        <f t="shared" si="31"/>
        <v>0</v>
      </c>
      <c r="AI14" s="20">
        <f t="shared" si="32"/>
        <v>0</v>
      </c>
      <c r="AJ14" s="20">
        <f t="shared" si="33"/>
        <v>0</v>
      </c>
      <c r="AK14" s="20">
        <f t="shared" si="34"/>
        <v>0</v>
      </c>
      <c r="AL14" s="20">
        <f t="shared" si="35"/>
        <v>0</v>
      </c>
      <c r="AM14" s="20">
        <f t="shared" si="36"/>
        <v>87.955429119999991</v>
      </c>
      <c r="AN14" s="20">
        <f t="shared" si="37"/>
        <v>672.85951075200012</v>
      </c>
      <c r="AO14" s="20">
        <f t="shared" si="38"/>
        <v>1372.633503904</v>
      </c>
      <c r="AP14" s="20">
        <f t="shared" si="39"/>
        <v>700.04309814400006</v>
      </c>
      <c r="AQ14" s="20">
        <f t="shared" si="40"/>
        <v>0</v>
      </c>
      <c r="AR14" s="20">
        <f t="shared" si="41"/>
        <v>0</v>
      </c>
      <c r="AS14" s="20">
        <f t="shared" si="42"/>
        <v>0</v>
      </c>
      <c r="AT14" s="20">
        <f t="shared" si="43"/>
        <v>0</v>
      </c>
      <c r="AU14" s="20">
        <f t="shared" si="44"/>
        <v>0</v>
      </c>
      <c r="AV14" s="20">
        <f t="shared" si="45"/>
        <v>0</v>
      </c>
      <c r="AW14" s="20">
        <f t="shared" si="46"/>
        <v>0</v>
      </c>
      <c r="AX14" s="20">
        <f t="shared" si="47"/>
        <v>0</v>
      </c>
      <c r="AY14" s="20">
        <f t="shared" si="48"/>
        <v>0</v>
      </c>
      <c r="AZ14" s="426">
        <f t="shared" si="49"/>
        <v>2833.4915419200001</v>
      </c>
    </row>
    <row r="15" spans="1:52" s="16" customFormat="1" ht="11.5" x14ac:dyDescent="0.25">
      <c r="A15" s="16" t="s">
        <v>247</v>
      </c>
      <c r="B15" s="388" t="s">
        <v>248</v>
      </c>
      <c r="C15" s="388" t="s">
        <v>249</v>
      </c>
      <c r="D15" s="388" t="s">
        <v>125</v>
      </c>
      <c r="E15" s="421">
        <v>0</v>
      </c>
      <c r="F15" s="421">
        <v>0</v>
      </c>
      <c r="G15" s="421">
        <v>0</v>
      </c>
      <c r="H15" s="421">
        <v>0</v>
      </c>
      <c r="I15" s="421">
        <v>0</v>
      </c>
      <c r="J15" s="421">
        <v>0</v>
      </c>
      <c r="K15" s="421">
        <v>0</v>
      </c>
      <c r="L15" s="421">
        <v>0</v>
      </c>
      <c r="M15" s="421">
        <v>0</v>
      </c>
      <c r="N15" s="421">
        <v>880.37248</v>
      </c>
      <c r="O15" s="421">
        <v>897.97968000000003</v>
      </c>
      <c r="P15" s="421">
        <v>14587.869920000001</v>
      </c>
      <c r="Q15" s="421">
        <v>17819.446319999999</v>
      </c>
      <c r="R15" s="421">
        <v>6352.9575200000008</v>
      </c>
      <c r="S15" s="421">
        <v>26993.295680000003</v>
      </c>
      <c r="T15" s="421">
        <v>34544.836559999996</v>
      </c>
      <c r="U15" s="421">
        <v>56753.270080000002</v>
      </c>
      <c r="V15" s="421">
        <v>86055.443760000009</v>
      </c>
      <c r="W15" s="421">
        <v>87776.553280000007</v>
      </c>
      <c r="X15" s="421">
        <v>79444.152319999994</v>
      </c>
      <c r="Y15" s="421">
        <v>60774.776400000002</v>
      </c>
      <c r="Z15" s="422">
        <f t="shared" si="27"/>
        <v>472880.95400000003</v>
      </c>
      <c r="AA15" s="423">
        <v>1</v>
      </c>
      <c r="AB15" s="424">
        <v>0.315</v>
      </c>
      <c r="AC15" s="424">
        <v>0.443</v>
      </c>
      <c r="AD15" s="425">
        <v>0.24199999999999999</v>
      </c>
      <c r="AE15" s="20">
        <f t="shared" si="28"/>
        <v>0</v>
      </c>
      <c r="AF15" s="20">
        <f t="shared" si="29"/>
        <v>0</v>
      </c>
      <c r="AG15" s="20">
        <f t="shared" si="30"/>
        <v>0</v>
      </c>
      <c r="AH15" s="20">
        <f t="shared" si="31"/>
        <v>0</v>
      </c>
      <c r="AI15" s="20">
        <f t="shared" si="32"/>
        <v>0</v>
      </c>
      <c r="AJ15" s="20">
        <f t="shared" si="33"/>
        <v>0</v>
      </c>
      <c r="AK15" s="20">
        <f t="shared" si="34"/>
        <v>0</v>
      </c>
      <c r="AL15" s="20">
        <f t="shared" si="35"/>
        <v>0</v>
      </c>
      <c r="AM15" s="20">
        <f t="shared" si="36"/>
        <v>0</v>
      </c>
      <c r="AN15" s="20">
        <f t="shared" si="37"/>
        <v>667.32233984000004</v>
      </c>
      <c r="AO15" s="20">
        <f t="shared" si="38"/>
        <v>680.66859743999998</v>
      </c>
      <c r="AP15" s="20">
        <f t="shared" si="39"/>
        <v>11057.605399360002</v>
      </c>
      <c r="AQ15" s="20">
        <f t="shared" si="40"/>
        <v>13507.14031056</v>
      </c>
      <c r="AR15" s="20">
        <f t="shared" si="41"/>
        <v>4815.541800160001</v>
      </c>
      <c r="AS15" s="20">
        <f t="shared" si="42"/>
        <v>20460.918125440003</v>
      </c>
      <c r="AT15" s="20">
        <f t="shared" si="43"/>
        <v>26184.986112479997</v>
      </c>
      <c r="AU15" s="20">
        <f t="shared" si="44"/>
        <v>43018.97872064</v>
      </c>
      <c r="AV15" s="20">
        <f t="shared" si="45"/>
        <v>65230.026370080006</v>
      </c>
      <c r="AW15" s="20">
        <f t="shared" si="46"/>
        <v>66534.627386240012</v>
      </c>
      <c r="AX15" s="20">
        <f t="shared" si="47"/>
        <v>60218.667458559998</v>
      </c>
      <c r="AY15" s="20">
        <f>+Y15*($AB15+$AC15)</f>
        <v>46067.280511199999</v>
      </c>
      <c r="AZ15" s="426">
        <f t="shared" si="49"/>
        <v>358443.76313200005</v>
      </c>
    </row>
    <row r="16" spans="1:52" s="16" customFormat="1" ht="11.5" x14ac:dyDescent="0.25">
      <c r="A16" s="16" t="s">
        <v>250</v>
      </c>
      <c r="B16" s="388" t="s">
        <v>248</v>
      </c>
      <c r="C16" s="388" t="s">
        <v>251</v>
      </c>
      <c r="D16" s="388" t="s">
        <v>125</v>
      </c>
      <c r="E16" s="421">
        <v>0</v>
      </c>
      <c r="F16" s="421">
        <v>0</v>
      </c>
      <c r="G16" s="421">
        <v>0</v>
      </c>
      <c r="H16" s="421">
        <v>0</v>
      </c>
      <c r="I16" s="421">
        <v>0</v>
      </c>
      <c r="J16" s="421">
        <v>0</v>
      </c>
      <c r="K16" s="421">
        <v>0</v>
      </c>
      <c r="L16" s="421">
        <v>0</v>
      </c>
      <c r="M16" s="421">
        <v>287.90632000000005</v>
      </c>
      <c r="N16" s="421">
        <v>293.66480000000001</v>
      </c>
      <c r="O16" s="421">
        <v>0</v>
      </c>
      <c r="P16" s="421">
        <v>0</v>
      </c>
      <c r="Q16" s="421">
        <v>0</v>
      </c>
      <c r="R16" s="421">
        <v>0</v>
      </c>
      <c r="S16" s="421">
        <v>0</v>
      </c>
      <c r="T16" s="421">
        <v>0</v>
      </c>
      <c r="U16" s="421"/>
      <c r="V16" s="421"/>
      <c r="W16" s="421"/>
      <c r="X16" s="421"/>
      <c r="Y16" s="421"/>
      <c r="Z16" s="422">
        <f t="shared" si="27"/>
        <v>581.57112000000006</v>
      </c>
      <c r="AA16" s="423">
        <v>1</v>
      </c>
      <c r="AB16" s="424">
        <v>0.315</v>
      </c>
      <c r="AC16" s="424">
        <v>0.443</v>
      </c>
      <c r="AD16" s="425">
        <v>0.24199999999999999</v>
      </c>
      <c r="AE16" s="20">
        <f t="shared" si="28"/>
        <v>0</v>
      </c>
      <c r="AF16" s="20">
        <f t="shared" si="29"/>
        <v>0</v>
      </c>
      <c r="AG16" s="20">
        <f t="shared" si="30"/>
        <v>0</v>
      </c>
      <c r="AH16" s="20">
        <f t="shared" si="31"/>
        <v>0</v>
      </c>
      <c r="AI16" s="20">
        <f t="shared" si="32"/>
        <v>0</v>
      </c>
      <c r="AJ16" s="20">
        <f t="shared" si="33"/>
        <v>0</v>
      </c>
      <c r="AK16" s="20">
        <f t="shared" si="34"/>
        <v>0</v>
      </c>
      <c r="AL16" s="20">
        <f t="shared" si="35"/>
        <v>0</v>
      </c>
      <c r="AM16" s="20">
        <f t="shared" si="36"/>
        <v>218.23299056000005</v>
      </c>
      <c r="AN16" s="20">
        <f t="shared" si="37"/>
        <v>222.59791840000003</v>
      </c>
      <c r="AO16" s="20">
        <f t="shared" si="38"/>
        <v>0</v>
      </c>
      <c r="AP16" s="20">
        <f t="shared" si="39"/>
        <v>0</v>
      </c>
      <c r="AQ16" s="20">
        <f t="shared" si="40"/>
        <v>0</v>
      </c>
      <c r="AR16" s="20">
        <f t="shared" si="41"/>
        <v>0</v>
      </c>
      <c r="AS16" s="20">
        <f t="shared" si="42"/>
        <v>0</v>
      </c>
      <c r="AT16" s="20">
        <f t="shared" si="43"/>
        <v>0</v>
      </c>
      <c r="AU16" s="20">
        <f t="shared" si="44"/>
        <v>0</v>
      </c>
      <c r="AV16" s="20">
        <f t="shared" si="45"/>
        <v>0</v>
      </c>
      <c r="AW16" s="20">
        <f t="shared" si="46"/>
        <v>0</v>
      </c>
      <c r="AX16" s="20">
        <f t="shared" si="47"/>
        <v>0</v>
      </c>
      <c r="AY16" s="20">
        <f t="shared" si="48"/>
        <v>0</v>
      </c>
      <c r="AZ16" s="426">
        <f t="shared" si="49"/>
        <v>440.8309089600001</v>
      </c>
    </row>
    <row r="17" spans="1:52" s="16" customFormat="1" ht="11.5" x14ac:dyDescent="0.25">
      <c r="A17" s="16" t="s">
        <v>252</v>
      </c>
      <c r="B17" s="388" t="s">
        <v>233</v>
      </c>
      <c r="C17" s="388" t="s">
        <v>130</v>
      </c>
      <c r="D17" s="388" t="s">
        <v>125</v>
      </c>
      <c r="E17" s="421">
        <v>9064.9619091170007</v>
      </c>
      <c r="F17" s="421">
        <v>2469.2014317666144</v>
      </c>
      <c r="G17" s="421">
        <v>241.28840506958682</v>
      </c>
      <c r="H17" s="421">
        <v>298.22542994113979</v>
      </c>
      <c r="I17" s="421">
        <v>29.673166763264192</v>
      </c>
      <c r="J17" s="421">
        <v>0</v>
      </c>
      <c r="K17" s="421">
        <v>0</v>
      </c>
      <c r="L17" s="421">
        <v>0</v>
      </c>
      <c r="M17" s="421">
        <v>0</v>
      </c>
      <c r="N17" s="421">
        <v>0</v>
      </c>
      <c r="O17" s="421">
        <v>0</v>
      </c>
      <c r="P17" s="421">
        <v>0</v>
      </c>
      <c r="Q17" s="421">
        <v>0</v>
      </c>
      <c r="R17" s="421">
        <v>0</v>
      </c>
      <c r="S17" s="421">
        <v>0</v>
      </c>
      <c r="T17" s="421">
        <v>0</v>
      </c>
      <c r="U17" s="421"/>
      <c r="V17" s="421"/>
      <c r="W17" s="421"/>
      <c r="X17" s="421"/>
      <c r="Y17" s="421"/>
      <c r="Z17" s="422">
        <f t="shared" si="27"/>
        <v>12103.350342657606</v>
      </c>
      <c r="AA17" s="423">
        <v>1</v>
      </c>
      <c r="AB17" s="424">
        <v>0.443</v>
      </c>
      <c r="AC17" s="424">
        <v>0.32300000000000001</v>
      </c>
      <c r="AD17" s="425">
        <v>0.23499999999999999</v>
      </c>
      <c r="AE17" s="20">
        <f t="shared" si="28"/>
        <v>6943.7608223836223</v>
      </c>
      <c r="AF17" s="20">
        <f t="shared" si="29"/>
        <v>1891.4082967332267</v>
      </c>
      <c r="AG17" s="20">
        <f t="shared" si="30"/>
        <v>184.82691828330351</v>
      </c>
      <c r="AH17" s="20">
        <f t="shared" si="31"/>
        <v>228.44067933491309</v>
      </c>
      <c r="AI17" s="20">
        <f t="shared" si="32"/>
        <v>22.72964574066037</v>
      </c>
      <c r="AJ17" s="20">
        <f t="shared" si="33"/>
        <v>0</v>
      </c>
      <c r="AK17" s="20">
        <f t="shared" si="34"/>
        <v>0</v>
      </c>
      <c r="AL17" s="20">
        <f t="shared" si="35"/>
        <v>0</v>
      </c>
      <c r="AM17" s="20">
        <f t="shared" si="36"/>
        <v>0</v>
      </c>
      <c r="AN17" s="20">
        <f t="shared" si="37"/>
        <v>0</v>
      </c>
      <c r="AO17" s="20">
        <f t="shared" si="38"/>
        <v>0</v>
      </c>
      <c r="AP17" s="20">
        <f t="shared" si="39"/>
        <v>0</v>
      </c>
      <c r="AQ17" s="20">
        <f t="shared" si="40"/>
        <v>0</v>
      </c>
      <c r="AR17" s="20">
        <f t="shared" si="41"/>
        <v>0</v>
      </c>
      <c r="AS17" s="20">
        <f t="shared" si="42"/>
        <v>0</v>
      </c>
      <c r="AT17" s="20">
        <f t="shared" si="43"/>
        <v>0</v>
      </c>
      <c r="AU17" s="20">
        <f t="shared" si="44"/>
        <v>0</v>
      </c>
      <c r="AV17" s="20">
        <f t="shared" si="45"/>
        <v>0</v>
      </c>
      <c r="AW17" s="20">
        <f t="shared" si="46"/>
        <v>0</v>
      </c>
      <c r="AX17" s="20">
        <f t="shared" si="47"/>
        <v>0</v>
      </c>
      <c r="AY17" s="20">
        <f t="shared" si="48"/>
        <v>0</v>
      </c>
      <c r="AZ17" s="426">
        <f t="shared" si="49"/>
        <v>9271.1663624757257</v>
      </c>
    </row>
    <row r="18" spans="1:52" s="16" customFormat="1" ht="11.5" x14ac:dyDescent="0.25">
      <c r="A18" s="16" t="s">
        <v>253</v>
      </c>
      <c r="B18" s="388" t="s">
        <v>233</v>
      </c>
      <c r="C18" s="388" t="s">
        <v>130</v>
      </c>
      <c r="D18" s="388" t="s">
        <v>125</v>
      </c>
      <c r="E18" s="421">
        <v>30370.132930347863</v>
      </c>
      <c r="F18" s="421">
        <v>12747.05157958681</v>
      </c>
      <c r="G18" s="421">
        <v>8739.4721172901227</v>
      </c>
      <c r="H18" s="421">
        <v>2829.3599858950593</v>
      </c>
      <c r="I18" s="421">
        <v>4065.466413015225</v>
      </c>
      <c r="J18" s="421">
        <v>463.81551962096563</v>
      </c>
      <c r="K18" s="421">
        <v>0</v>
      </c>
      <c r="L18" s="421">
        <v>0</v>
      </c>
      <c r="M18" s="421">
        <v>0</v>
      </c>
      <c r="N18" s="421">
        <v>0</v>
      </c>
      <c r="O18" s="421">
        <v>0</v>
      </c>
      <c r="P18" s="421">
        <v>0</v>
      </c>
      <c r="Q18" s="421">
        <v>0</v>
      </c>
      <c r="R18" s="421">
        <v>0</v>
      </c>
      <c r="S18" s="421">
        <v>0</v>
      </c>
      <c r="T18" s="421">
        <v>0</v>
      </c>
      <c r="U18" s="421"/>
      <c r="V18" s="421"/>
      <c r="W18" s="421"/>
      <c r="X18" s="421"/>
      <c r="Y18" s="421"/>
      <c r="Z18" s="422">
        <f t="shared" si="27"/>
        <v>59215.29854575605</v>
      </c>
      <c r="AA18" s="423">
        <v>1</v>
      </c>
      <c r="AB18" s="424">
        <v>0.443</v>
      </c>
      <c r="AC18" s="424">
        <v>0.32300000000000001</v>
      </c>
      <c r="AD18" s="425">
        <v>0.23499999999999999</v>
      </c>
      <c r="AE18" s="20">
        <f t="shared" si="28"/>
        <v>23263.521824646465</v>
      </c>
      <c r="AF18" s="20">
        <f t="shared" si="29"/>
        <v>9764.2415099634964</v>
      </c>
      <c r="AG18" s="20">
        <f t="shared" si="30"/>
        <v>6694.4356418442339</v>
      </c>
      <c r="AH18" s="20">
        <f t="shared" si="31"/>
        <v>2167.2897491956155</v>
      </c>
      <c r="AI18" s="20">
        <f t="shared" si="32"/>
        <v>3114.1472723696625</v>
      </c>
      <c r="AJ18" s="20">
        <f t="shared" si="33"/>
        <v>355.28268802965965</v>
      </c>
      <c r="AK18" s="20">
        <f t="shared" si="34"/>
        <v>0</v>
      </c>
      <c r="AL18" s="20">
        <f t="shared" si="35"/>
        <v>0</v>
      </c>
      <c r="AM18" s="20">
        <f t="shared" si="36"/>
        <v>0</v>
      </c>
      <c r="AN18" s="20">
        <f t="shared" si="37"/>
        <v>0</v>
      </c>
      <c r="AO18" s="20">
        <f t="shared" si="38"/>
        <v>0</v>
      </c>
      <c r="AP18" s="20">
        <f t="shared" si="39"/>
        <v>0</v>
      </c>
      <c r="AQ18" s="20">
        <f t="shared" si="40"/>
        <v>0</v>
      </c>
      <c r="AR18" s="20">
        <f t="shared" si="41"/>
        <v>0</v>
      </c>
      <c r="AS18" s="20">
        <f t="shared" si="42"/>
        <v>0</v>
      </c>
      <c r="AT18" s="20">
        <f t="shared" si="43"/>
        <v>0</v>
      </c>
      <c r="AU18" s="20">
        <f t="shared" si="44"/>
        <v>0</v>
      </c>
      <c r="AV18" s="20">
        <f t="shared" si="45"/>
        <v>0</v>
      </c>
      <c r="AW18" s="20">
        <f t="shared" si="46"/>
        <v>0</v>
      </c>
      <c r="AX18" s="20">
        <f t="shared" si="47"/>
        <v>0</v>
      </c>
      <c r="AY18" s="20">
        <f t="shared" si="48"/>
        <v>0</v>
      </c>
      <c r="AZ18" s="426">
        <f t="shared" si="49"/>
        <v>45358.918686049132</v>
      </c>
    </row>
    <row r="19" spans="1:52" s="16" customFormat="1" ht="11.5" x14ac:dyDescent="0.25">
      <c r="A19" s="507" t="s">
        <v>89</v>
      </c>
      <c r="B19" s="507"/>
      <c r="C19" s="507"/>
      <c r="D19" s="507"/>
      <c r="E19" s="507">
        <f t="shared" ref="E19:Y19" si="50">SUM(E6:E18)</f>
        <v>113665.35865332544</v>
      </c>
      <c r="F19" s="507">
        <f t="shared" si="50"/>
        <v>99220.462072566472</v>
      </c>
      <c r="G19" s="507">
        <f t="shared" si="50"/>
        <v>117472.88575213712</v>
      </c>
      <c r="H19" s="507">
        <f t="shared" si="50"/>
        <v>130586.27736759947</v>
      </c>
      <c r="I19" s="507">
        <f t="shared" si="50"/>
        <v>116794.96488529918</v>
      </c>
      <c r="J19" s="507">
        <f t="shared" si="50"/>
        <v>51458.386636249059</v>
      </c>
      <c r="K19" s="507">
        <f t="shared" si="50"/>
        <v>30733.77569425527</v>
      </c>
      <c r="L19" s="507">
        <f t="shared" si="50"/>
        <v>30439.275807199996</v>
      </c>
      <c r="M19" s="507">
        <f t="shared" si="50"/>
        <v>32319.710800000001</v>
      </c>
      <c r="N19" s="507">
        <f t="shared" si="50"/>
        <v>61705.867599999998</v>
      </c>
      <c r="O19" s="507">
        <f t="shared" si="50"/>
        <v>44870.849920000001</v>
      </c>
      <c r="P19" s="507">
        <f t="shared" si="50"/>
        <v>103758.66904000001</v>
      </c>
      <c r="Q19" s="507">
        <f t="shared" si="50"/>
        <v>95852.818880000006</v>
      </c>
      <c r="R19" s="507">
        <f t="shared" si="50"/>
        <v>13866.95752</v>
      </c>
      <c r="S19" s="507">
        <f t="shared" si="50"/>
        <v>27129.535680000005</v>
      </c>
      <c r="T19" s="507">
        <f t="shared" si="50"/>
        <v>34544.836559999996</v>
      </c>
      <c r="U19" s="507">
        <f t="shared" si="50"/>
        <v>56753.270080000002</v>
      </c>
      <c r="V19" s="507">
        <f t="shared" si="50"/>
        <v>86055.443760000009</v>
      </c>
      <c r="W19" s="507">
        <f t="shared" si="50"/>
        <v>87776.553280000007</v>
      </c>
      <c r="X19" s="507">
        <f t="shared" si="50"/>
        <v>79444.152319999994</v>
      </c>
      <c r="Y19" s="507">
        <f t="shared" si="50"/>
        <v>60774.776400000002</v>
      </c>
      <c r="Z19" s="507">
        <f>SUM(Z6:Z18)</f>
        <v>1475224.8287086324</v>
      </c>
      <c r="AA19" s="507"/>
      <c r="AB19" s="507"/>
      <c r="AC19" s="507"/>
      <c r="AD19" s="507"/>
      <c r="AE19" s="507">
        <f t="shared" ref="AE19:AY19" si="51">SUM(AE6:AE18)</f>
        <v>69726.616951678996</v>
      </c>
      <c r="AF19" s="507">
        <f t="shared" si="51"/>
        <v>61761.958749968762</v>
      </c>
      <c r="AG19" s="507">
        <f t="shared" si="51"/>
        <v>88670.721743671442</v>
      </c>
      <c r="AH19" s="507">
        <f t="shared" si="51"/>
        <v>96830.109776815167</v>
      </c>
      <c r="AI19" s="507">
        <f t="shared" si="51"/>
        <v>87798.802877274211</v>
      </c>
      <c r="AJ19" s="507">
        <f t="shared" si="51"/>
        <v>39044.752750652369</v>
      </c>
      <c r="AK19" s="507">
        <f t="shared" si="51"/>
        <v>23435.273962824245</v>
      </c>
      <c r="AL19" s="507">
        <f t="shared" si="51"/>
        <v>23307.758140846396</v>
      </c>
      <c r="AM19" s="507">
        <f t="shared" si="51"/>
        <v>24402.773505760004</v>
      </c>
      <c r="AN19" s="507">
        <f t="shared" si="51"/>
        <v>44332.51659408</v>
      </c>
      <c r="AO19" s="507">
        <f t="shared" si="51"/>
        <v>27921.294616799998</v>
      </c>
      <c r="AP19" s="507">
        <f t="shared" si="51"/>
        <v>74134.515885664019</v>
      </c>
      <c r="AQ19" s="507">
        <f t="shared" si="51"/>
        <v>72042.551623328007</v>
      </c>
      <c r="AR19" s="507">
        <f t="shared" si="51"/>
        <v>10571.265800160001</v>
      </c>
      <c r="AS19" s="507">
        <f t="shared" si="51"/>
        <v>20565.277965440004</v>
      </c>
      <c r="AT19" s="507">
        <f t="shared" si="51"/>
        <v>26184.986112479997</v>
      </c>
      <c r="AU19" s="507">
        <f t="shared" si="51"/>
        <v>43018.97872064</v>
      </c>
      <c r="AV19" s="507">
        <f t="shared" si="51"/>
        <v>65230.026370080006</v>
      </c>
      <c r="AW19" s="507">
        <f t="shared" si="51"/>
        <v>66534.627386240012</v>
      </c>
      <c r="AX19" s="507">
        <f t="shared" si="51"/>
        <v>60218.667458559998</v>
      </c>
      <c r="AY19" s="507">
        <f t="shared" si="51"/>
        <v>46067.280511199999</v>
      </c>
      <c r="AZ19" s="507">
        <f>SUM(AZ6:AZ18)</f>
        <v>1071800.7575041638</v>
      </c>
    </row>
    <row r="20" spans="1:52" s="16" customFormat="1" ht="11.5" x14ac:dyDescent="0.25">
      <c r="A20" s="427"/>
      <c r="B20" s="427"/>
      <c r="C20" s="427"/>
      <c r="D20" s="427"/>
      <c r="E20" s="427"/>
      <c r="F20" s="427"/>
      <c r="G20" s="427"/>
      <c r="H20" s="427"/>
      <c r="I20" s="427"/>
      <c r="J20" s="427"/>
      <c r="K20" s="427"/>
      <c r="L20" s="427"/>
      <c r="M20" s="427"/>
      <c r="N20" s="427"/>
      <c r="O20" s="427"/>
      <c r="P20" s="427"/>
      <c r="Q20" s="427"/>
      <c r="R20" s="427"/>
      <c r="S20" s="427"/>
      <c r="T20" s="427"/>
      <c r="U20" s="427"/>
      <c r="V20" s="427"/>
      <c r="W20" s="427"/>
      <c r="X20" s="427"/>
      <c r="Y20" s="427"/>
      <c r="Z20" s="427"/>
      <c r="AA20" s="427"/>
      <c r="AB20" s="427"/>
      <c r="AC20" s="427"/>
      <c r="AD20" s="427"/>
      <c r="AE20" s="427"/>
      <c r="AF20" s="427"/>
      <c r="AG20" s="427"/>
      <c r="AH20" s="427"/>
      <c r="AI20" s="427"/>
      <c r="AJ20" s="427"/>
      <c r="AK20" s="427"/>
      <c r="AL20" s="427"/>
      <c r="AM20" s="427"/>
      <c r="AN20" s="427"/>
      <c r="AO20" s="427"/>
      <c r="AP20" s="427"/>
      <c r="AQ20" s="427"/>
      <c r="AR20" s="427"/>
      <c r="AS20" s="427"/>
      <c r="AT20" s="427"/>
      <c r="AU20" s="427"/>
      <c r="AV20" s="427"/>
      <c r="AW20" s="427"/>
      <c r="AX20" s="427"/>
      <c r="AY20" s="427"/>
      <c r="AZ20" s="422"/>
    </row>
    <row r="21" spans="1:52" s="16" customFormat="1" ht="11.5" x14ac:dyDescent="0.25">
      <c r="AD21" s="29"/>
      <c r="AE21" s="422"/>
      <c r="AF21" s="422"/>
      <c r="AG21" s="422"/>
      <c r="AH21" s="422"/>
      <c r="AI21" s="422"/>
      <c r="AJ21" s="422"/>
      <c r="AK21" s="422"/>
      <c r="AL21" s="422"/>
      <c r="AZ21" s="428"/>
    </row>
    <row r="22" spans="1:52" s="16" customFormat="1" ht="11.5" x14ac:dyDescent="0.25">
      <c r="E22" s="342"/>
      <c r="AD22" s="29"/>
      <c r="AE22" s="428"/>
      <c r="AF22" s="428"/>
      <c r="AG22" s="428"/>
      <c r="AH22" s="428"/>
      <c r="AI22" s="428"/>
      <c r="AJ22" s="428"/>
      <c r="AK22" s="428"/>
      <c r="AL22" s="428"/>
      <c r="AZ22" s="428"/>
    </row>
    <row r="23" spans="1:52" s="14" customFormat="1" ht="11.5" x14ac:dyDescent="0.25">
      <c r="A23" s="419" t="s">
        <v>254</v>
      </c>
      <c r="B23" s="436"/>
      <c r="C23" s="436"/>
      <c r="D23" s="436"/>
      <c r="E23" s="436"/>
      <c r="F23" s="436"/>
      <c r="G23" s="436"/>
      <c r="H23" s="436"/>
      <c r="I23" s="436"/>
      <c r="J23" s="436"/>
      <c r="K23" s="436"/>
      <c r="L23" s="436"/>
      <c r="M23" s="436"/>
      <c r="N23" s="436"/>
      <c r="O23" s="436"/>
      <c r="P23" s="436"/>
      <c r="Q23" s="436"/>
      <c r="R23" s="436"/>
      <c r="S23" s="436"/>
      <c r="T23" s="436"/>
      <c r="U23" s="436"/>
      <c r="V23" s="436"/>
      <c r="W23" s="436"/>
      <c r="X23" s="436"/>
      <c r="Y23" s="436"/>
      <c r="Z23" s="434"/>
      <c r="AE23" s="557" t="s">
        <v>255</v>
      </c>
      <c r="AF23" s="558"/>
      <c r="AG23" s="558"/>
      <c r="AH23" s="558"/>
      <c r="AI23" s="558"/>
      <c r="AJ23" s="558"/>
      <c r="AK23" s="436"/>
      <c r="AL23" s="402"/>
      <c r="AM23" s="436"/>
      <c r="AN23" s="436"/>
      <c r="AO23" s="436"/>
      <c r="AP23" s="436"/>
      <c r="AQ23" s="436"/>
      <c r="AR23" s="436"/>
      <c r="AS23" s="436"/>
      <c r="AT23" s="436"/>
      <c r="AU23" s="436"/>
      <c r="AV23" s="436"/>
      <c r="AW23" s="436"/>
      <c r="AX23" s="436"/>
      <c r="AY23" s="436"/>
      <c r="AZ23" s="434"/>
    </row>
    <row r="24" spans="1:52" s="14" customFormat="1" ht="11.5" x14ac:dyDescent="0.25">
      <c r="A24" s="429" t="s">
        <v>256</v>
      </c>
      <c r="B24" s="430"/>
      <c r="C24" s="430"/>
      <c r="D24" s="430"/>
      <c r="E24" s="430">
        <v>2016</v>
      </c>
      <c r="F24" s="430">
        <f t="shared" ref="F24:M24" si="52">+E24+1</f>
        <v>2017</v>
      </c>
      <c r="G24" s="430">
        <f t="shared" si="52"/>
        <v>2018</v>
      </c>
      <c r="H24" s="430">
        <f t="shared" si="52"/>
        <v>2019</v>
      </c>
      <c r="I24" s="430">
        <f t="shared" si="52"/>
        <v>2020</v>
      </c>
      <c r="J24" s="430">
        <f t="shared" si="52"/>
        <v>2021</v>
      </c>
      <c r="K24" s="430">
        <f t="shared" si="52"/>
        <v>2022</v>
      </c>
      <c r="L24" s="430">
        <f t="shared" si="52"/>
        <v>2023</v>
      </c>
      <c r="M24" s="430">
        <f t="shared" si="52"/>
        <v>2024</v>
      </c>
      <c r="N24" s="430">
        <f t="shared" ref="N24" si="53">+M24+1</f>
        <v>2025</v>
      </c>
      <c r="O24" s="430">
        <f t="shared" ref="O24" si="54">+N24+1</f>
        <v>2026</v>
      </c>
      <c r="P24" s="430">
        <f t="shared" ref="P24" si="55">+O24+1</f>
        <v>2027</v>
      </c>
      <c r="Q24" s="430">
        <f t="shared" ref="Q24" si="56">+P24+1</f>
        <v>2028</v>
      </c>
      <c r="R24" s="430">
        <f t="shared" ref="R24" si="57">+Q24+1</f>
        <v>2029</v>
      </c>
      <c r="S24" s="430">
        <f t="shared" ref="S24" si="58">+R24+1</f>
        <v>2030</v>
      </c>
      <c r="T24" s="430">
        <f t="shared" ref="T24" si="59">+S24+1</f>
        <v>2031</v>
      </c>
      <c r="U24" s="430">
        <f t="shared" ref="U24" si="60">+T24+1</f>
        <v>2032</v>
      </c>
      <c r="V24" s="430">
        <f t="shared" ref="V24" si="61">+U24+1</f>
        <v>2033</v>
      </c>
      <c r="W24" s="430">
        <f t="shared" ref="W24" si="62">+V24+1</f>
        <v>2034</v>
      </c>
      <c r="X24" s="430">
        <f t="shared" ref="X24" si="63">+W24+1</f>
        <v>2035</v>
      </c>
      <c r="Y24" s="430">
        <f t="shared" ref="Y24" si="64">+X24+1</f>
        <v>2036</v>
      </c>
      <c r="Z24" s="431" t="s">
        <v>257</v>
      </c>
      <c r="AE24" s="429">
        <v>2016</v>
      </c>
      <c r="AF24" s="430">
        <f t="shared" ref="AF24:AM24" si="65">+AE24+1</f>
        <v>2017</v>
      </c>
      <c r="AG24" s="430">
        <f t="shared" si="65"/>
        <v>2018</v>
      </c>
      <c r="AH24" s="430">
        <f t="shared" si="65"/>
        <v>2019</v>
      </c>
      <c r="AI24" s="430">
        <f t="shared" si="65"/>
        <v>2020</v>
      </c>
      <c r="AJ24" s="430">
        <f t="shared" si="65"/>
        <v>2021</v>
      </c>
      <c r="AK24" s="430">
        <f t="shared" si="65"/>
        <v>2022</v>
      </c>
      <c r="AL24" s="430">
        <f t="shared" si="65"/>
        <v>2023</v>
      </c>
      <c r="AM24" s="430">
        <f t="shared" si="65"/>
        <v>2024</v>
      </c>
      <c r="AN24" s="430">
        <f t="shared" ref="AN24" si="66">+AM24+1</f>
        <v>2025</v>
      </c>
      <c r="AO24" s="430">
        <f t="shared" ref="AO24" si="67">+AN24+1</f>
        <v>2026</v>
      </c>
      <c r="AP24" s="430">
        <f t="shared" ref="AP24" si="68">+AO24+1</f>
        <v>2027</v>
      </c>
      <c r="AQ24" s="430">
        <f t="shared" ref="AQ24" si="69">+AP24+1</f>
        <v>2028</v>
      </c>
      <c r="AR24" s="430">
        <f t="shared" ref="AR24" si="70">+AQ24+1</f>
        <v>2029</v>
      </c>
      <c r="AS24" s="430">
        <f t="shared" ref="AS24" si="71">+AR24+1</f>
        <v>2030</v>
      </c>
      <c r="AT24" s="430">
        <f t="shared" ref="AT24" si="72">+AS24+1</f>
        <v>2031</v>
      </c>
      <c r="AU24" s="430">
        <f t="shared" ref="AU24" si="73">+AT24+1</f>
        <v>2032</v>
      </c>
      <c r="AV24" s="430">
        <f t="shared" ref="AV24" si="74">+AU24+1</f>
        <v>2033</v>
      </c>
      <c r="AW24" s="430">
        <f t="shared" ref="AW24" si="75">+AV24+1</f>
        <v>2034</v>
      </c>
      <c r="AX24" s="430">
        <f t="shared" ref="AX24" si="76">+AW24+1</f>
        <v>2035</v>
      </c>
      <c r="AY24" s="430">
        <f t="shared" ref="AY24" si="77">+AX24+1</f>
        <v>2036</v>
      </c>
      <c r="AZ24" s="431" t="s">
        <v>257</v>
      </c>
    </row>
    <row r="25" spans="1:52" s="16" customFormat="1" ht="11.5" x14ac:dyDescent="0.25">
      <c r="A25" s="23" t="s">
        <v>258</v>
      </c>
      <c r="Z25" s="24">
        <f>SUBTOTAL(9,E25:M25)</f>
        <v>0</v>
      </c>
      <c r="AE25" s="23"/>
      <c r="AZ25" s="24">
        <f>SUBTOTAL(9,AE25:AM25)</f>
        <v>0</v>
      </c>
    </row>
    <row r="26" spans="1:52" s="16" customFormat="1" ht="11.5" x14ac:dyDescent="0.25">
      <c r="A26" s="23" t="s">
        <v>180</v>
      </c>
      <c r="E26" s="25">
        <f t="shared" ref="E26:M26" si="78">SUMIF($B$6:$B$18,"BB",E6:E18)</f>
        <v>113508.59839640852</v>
      </c>
      <c r="F26" s="25">
        <f t="shared" si="78"/>
        <v>99127.857537112301</v>
      </c>
      <c r="G26" s="25">
        <f t="shared" si="78"/>
        <v>117423.73453203267</v>
      </c>
      <c r="H26" s="25">
        <f t="shared" si="78"/>
        <v>130585.76018269536</v>
      </c>
      <c r="I26" s="25">
        <f t="shared" si="78"/>
        <v>116794.96488529918</v>
      </c>
      <c r="J26" s="25">
        <f t="shared" si="78"/>
        <v>51458.386636249059</v>
      </c>
      <c r="K26" s="25">
        <f t="shared" si="78"/>
        <v>30733.77569425527</v>
      </c>
      <c r="L26" s="25">
        <f t="shared" si="78"/>
        <v>30439.275807199996</v>
      </c>
      <c r="M26" s="25">
        <f t="shared" si="78"/>
        <v>32031.804479999999</v>
      </c>
      <c r="N26" s="25">
        <f t="shared" ref="N26:X26" si="79">SUMIF($B$6:$B$18,"BB",N6:N18)</f>
        <v>60531.830320000001</v>
      </c>
      <c r="O26" s="25">
        <f t="shared" si="79"/>
        <v>43972.870240000004</v>
      </c>
      <c r="P26" s="25">
        <f t="shared" si="79"/>
        <v>89170.799120000011</v>
      </c>
      <c r="Q26" s="25">
        <f t="shared" si="79"/>
        <v>78033.372560000003</v>
      </c>
      <c r="R26" s="25">
        <f t="shared" si="79"/>
        <v>7514</v>
      </c>
      <c r="S26" s="25">
        <f t="shared" si="79"/>
        <v>136.24</v>
      </c>
      <c r="T26" s="25">
        <f t="shared" si="79"/>
        <v>0</v>
      </c>
      <c r="U26" s="25">
        <f t="shared" si="79"/>
        <v>0</v>
      </c>
      <c r="V26" s="25">
        <f t="shared" si="79"/>
        <v>0</v>
      </c>
      <c r="W26" s="25">
        <f t="shared" si="79"/>
        <v>0</v>
      </c>
      <c r="X26" s="25">
        <f t="shared" si="79"/>
        <v>0</v>
      </c>
      <c r="Y26" s="25">
        <f>SUMIF($B$6:$B$18,"BB",Y6:Y18)</f>
        <v>0</v>
      </c>
      <c r="Z26" s="24">
        <f>SUBTOTAL(9,E26:Y26)</f>
        <v>1001463.2703912522</v>
      </c>
      <c r="AE26" s="170">
        <f t="shared" ref="AE26:AM26" si="80">SUMIF($B$6:$B$18,"BB",AE6:AE18)</f>
        <v>69607.792676935962</v>
      </c>
      <c r="AF26" s="25">
        <f t="shared" si="80"/>
        <v>61691.764512094502</v>
      </c>
      <c r="AG26" s="25">
        <f t="shared" si="80"/>
        <v>88633.46511883226</v>
      </c>
      <c r="AH26" s="25">
        <f t="shared" si="80"/>
        <v>96829.717750657845</v>
      </c>
      <c r="AI26" s="25">
        <f t="shared" si="80"/>
        <v>87798.802877274211</v>
      </c>
      <c r="AJ26" s="25">
        <f t="shared" si="80"/>
        <v>39044.752750652369</v>
      </c>
      <c r="AK26" s="25">
        <f t="shared" si="80"/>
        <v>23435.273962824245</v>
      </c>
      <c r="AL26" s="25">
        <f t="shared" si="80"/>
        <v>23307.758140846396</v>
      </c>
      <c r="AM26" s="25">
        <f t="shared" si="80"/>
        <v>24184.540515200002</v>
      </c>
      <c r="AN26" s="25">
        <f t="shared" ref="AN26:AY26" si="81">SUMIF($B$6:$B$18,"BB",AN6:AN18)</f>
        <v>43442.596335839997</v>
      </c>
      <c r="AO26" s="25">
        <f t="shared" si="81"/>
        <v>27240.626019359999</v>
      </c>
      <c r="AP26" s="25">
        <f t="shared" si="81"/>
        <v>63076.910486304012</v>
      </c>
      <c r="AQ26" s="25">
        <f t="shared" si="81"/>
        <v>58535.411312768003</v>
      </c>
      <c r="AR26" s="25">
        <f t="shared" si="81"/>
        <v>5755.7240000000002</v>
      </c>
      <c r="AS26" s="25">
        <f t="shared" si="81"/>
        <v>104.35984000000001</v>
      </c>
      <c r="AT26" s="25">
        <f t="shared" si="81"/>
        <v>0</v>
      </c>
      <c r="AU26" s="25">
        <f t="shared" si="81"/>
        <v>0</v>
      </c>
      <c r="AV26" s="25">
        <f t="shared" si="81"/>
        <v>0</v>
      </c>
      <c r="AW26" s="25">
        <f t="shared" si="81"/>
        <v>0</v>
      </c>
      <c r="AX26" s="25">
        <f t="shared" si="81"/>
        <v>0</v>
      </c>
      <c r="AY26" s="25">
        <f t="shared" si="81"/>
        <v>0</v>
      </c>
      <c r="AZ26" s="24">
        <f>SUBTOTAL(9,AE26:AY26)</f>
        <v>712689.49629958987</v>
      </c>
    </row>
    <row r="27" spans="1:52" s="16" customFormat="1" ht="13" x14ac:dyDescent="0.4">
      <c r="A27" s="23" t="s">
        <v>259</v>
      </c>
      <c r="E27" s="25">
        <f t="shared" ref="E27:M27" si="82">SUMIF($B$6:$B$18,"Pine",E6:E18)+SUMIF($B$6:$B$18,"Pine/Fish",E6:E18)</f>
        <v>156.76025691692797</v>
      </c>
      <c r="F27" s="25">
        <f t="shared" si="82"/>
        <v>92.604535454174169</v>
      </c>
      <c r="G27" s="25">
        <f t="shared" si="82"/>
        <v>49.151220104452669</v>
      </c>
      <c r="H27" s="25">
        <f t="shared" si="82"/>
        <v>0.51718490411213935</v>
      </c>
      <c r="I27" s="25">
        <f t="shared" si="82"/>
        <v>0</v>
      </c>
      <c r="J27" s="25">
        <f t="shared" si="82"/>
        <v>0</v>
      </c>
      <c r="K27" s="25">
        <f t="shared" si="82"/>
        <v>0</v>
      </c>
      <c r="L27" s="25">
        <f t="shared" si="82"/>
        <v>0</v>
      </c>
      <c r="M27" s="25">
        <f t="shared" si="82"/>
        <v>287.90632000000005</v>
      </c>
      <c r="N27" s="25">
        <f t="shared" ref="N27:Y27" si="83">SUMIF($B$6:$B$18,"Pine",N6:N18)+SUMIF($B$6:$B$18,"Pine/Fish",N6:N18)</f>
        <v>1174.03728</v>
      </c>
      <c r="O27" s="25">
        <f t="shared" si="83"/>
        <v>897.97968000000003</v>
      </c>
      <c r="P27" s="25">
        <f t="shared" si="83"/>
        <v>14587.869920000001</v>
      </c>
      <c r="Q27" s="25">
        <f t="shared" si="83"/>
        <v>17819.446319999999</v>
      </c>
      <c r="R27" s="25">
        <f t="shared" si="83"/>
        <v>6352.9575200000008</v>
      </c>
      <c r="S27" s="25">
        <f t="shared" si="83"/>
        <v>26993.295680000003</v>
      </c>
      <c r="T27" s="25">
        <f t="shared" si="83"/>
        <v>34544.836559999996</v>
      </c>
      <c r="U27" s="25">
        <f t="shared" si="83"/>
        <v>56753.270080000002</v>
      </c>
      <c r="V27" s="25">
        <f t="shared" si="83"/>
        <v>86055.443760000009</v>
      </c>
      <c r="W27" s="25">
        <f t="shared" si="83"/>
        <v>87776.553280000007</v>
      </c>
      <c r="X27" s="25">
        <f t="shared" si="83"/>
        <v>79444.152319999994</v>
      </c>
      <c r="Y27" s="25">
        <f t="shared" si="83"/>
        <v>60774.776400000002</v>
      </c>
      <c r="Z27" s="432">
        <f>SUBTOTAL(9,E27:Y27)</f>
        <v>473761.55831737968</v>
      </c>
      <c r="AE27" s="170">
        <f t="shared" ref="AE27:AM27" si="84">SUMIF($B$6:$B$18,"Pine",AE6:AE18)+SUMIF($B$6:$B$18,"Pine/Fish",AE6:AE18)</f>
        <v>118.82427474303141</v>
      </c>
      <c r="AF27" s="25">
        <f t="shared" si="84"/>
        <v>70.194237874264019</v>
      </c>
      <c r="AG27" s="25">
        <f t="shared" si="84"/>
        <v>37.256624839175124</v>
      </c>
      <c r="AH27" s="25">
        <f t="shared" si="84"/>
        <v>0.39202615731700163</v>
      </c>
      <c r="AI27" s="25">
        <f t="shared" si="84"/>
        <v>0</v>
      </c>
      <c r="AJ27" s="25">
        <f t="shared" si="84"/>
        <v>0</v>
      </c>
      <c r="AK27" s="25">
        <f t="shared" si="84"/>
        <v>0</v>
      </c>
      <c r="AL27" s="25">
        <f t="shared" si="84"/>
        <v>0</v>
      </c>
      <c r="AM27" s="25">
        <f t="shared" si="84"/>
        <v>218.23299056000005</v>
      </c>
      <c r="AN27" s="25">
        <f t="shared" ref="AN27:AY27" si="85">SUMIF($B$6:$B$18,"Pine",AN6:AN18)+SUMIF($B$6:$B$18,"Pine/Fish",AN6:AN18)</f>
        <v>889.92025824000007</v>
      </c>
      <c r="AO27" s="25">
        <f t="shared" si="85"/>
        <v>680.66859743999998</v>
      </c>
      <c r="AP27" s="25">
        <f t="shared" si="85"/>
        <v>11057.605399360002</v>
      </c>
      <c r="AQ27" s="25">
        <f t="shared" si="85"/>
        <v>13507.14031056</v>
      </c>
      <c r="AR27" s="25">
        <f t="shared" si="85"/>
        <v>4815.541800160001</v>
      </c>
      <c r="AS27" s="25">
        <f t="shared" si="85"/>
        <v>20460.918125440003</v>
      </c>
      <c r="AT27" s="25">
        <f t="shared" si="85"/>
        <v>26184.986112479997</v>
      </c>
      <c r="AU27" s="25">
        <f t="shared" si="85"/>
        <v>43018.97872064</v>
      </c>
      <c r="AV27" s="25">
        <f t="shared" si="85"/>
        <v>65230.026370080006</v>
      </c>
      <c r="AW27" s="25">
        <f t="shared" si="85"/>
        <v>66534.627386240012</v>
      </c>
      <c r="AX27" s="25">
        <f t="shared" si="85"/>
        <v>60218.667458559998</v>
      </c>
      <c r="AY27" s="25">
        <f t="shared" si="85"/>
        <v>46067.280511199999</v>
      </c>
      <c r="AZ27" s="432">
        <f>SUBTOTAL(9,AE27:AY27)</f>
        <v>359111.26120457385</v>
      </c>
    </row>
    <row r="28" spans="1:52" s="16" customFormat="1" ht="11.5" x14ac:dyDescent="0.25">
      <c r="A28" s="26"/>
      <c r="B28" s="27"/>
      <c r="C28" s="27"/>
      <c r="D28" s="27"/>
      <c r="E28" s="27"/>
      <c r="F28" s="27"/>
      <c r="G28" s="27"/>
      <c r="H28" s="27"/>
      <c r="I28" s="27"/>
      <c r="J28" s="27"/>
      <c r="K28" s="27"/>
      <c r="L28" s="27"/>
      <c r="M28" s="27"/>
      <c r="N28" s="27"/>
      <c r="O28" s="27"/>
      <c r="P28" s="27"/>
      <c r="Q28" s="27"/>
      <c r="R28" s="27"/>
      <c r="S28" s="27"/>
      <c r="T28" s="27"/>
      <c r="U28" s="27"/>
      <c r="V28" s="27"/>
      <c r="W28" s="27"/>
      <c r="X28" s="27"/>
      <c r="Y28" s="27"/>
      <c r="Z28" s="433">
        <f>+Z25+Z26+Z27</f>
        <v>1475224.8287086319</v>
      </c>
      <c r="AE28" s="26"/>
      <c r="AF28" s="27"/>
      <c r="AG28" s="27"/>
      <c r="AH28" s="27"/>
      <c r="AI28" s="27"/>
      <c r="AJ28" s="27"/>
      <c r="AK28" s="27"/>
      <c r="AL28" s="27"/>
      <c r="AM28" s="27"/>
      <c r="AN28" s="27"/>
      <c r="AO28" s="27"/>
      <c r="AP28" s="27"/>
      <c r="AQ28" s="27"/>
      <c r="AR28" s="27"/>
      <c r="AS28" s="27"/>
      <c r="AT28" s="27"/>
      <c r="AU28" s="27"/>
      <c r="AV28" s="27"/>
      <c r="AW28" s="27"/>
      <c r="AX28" s="27"/>
      <c r="AY28" s="27"/>
      <c r="AZ28" s="433">
        <f>+AZ25+AZ26+AZ27</f>
        <v>1071800.7575041638</v>
      </c>
    </row>
    <row r="31" spans="1:52" x14ac:dyDescent="0.25">
      <c r="AE31" s="89"/>
      <c r="AF31" s="89"/>
      <c r="AG31" s="89"/>
      <c r="AH31" s="89"/>
      <c r="AI31" s="89"/>
      <c r="AJ31" s="89"/>
      <c r="AK31" s="89"/>
    </row>
  </sheetData>
  <mergeCells count="9">
    <mergeCell ref="A1:C1"/>
    <mergeCell ref="A2:E2"/>
    <mergeCell ref="AE23:AJ23"/>
    <mergeCell ref="AA4:AD4"/>
    <mergeCell ref="AE4:AZ4"/>
    <mergeCell ref="A4:A5"/>
    <mergeCell ref="B4:B5"/>
    <mergeCell ref="C4:C5"/>
    <mergeCell ref="D4:D5"/>
  </mergeCells>
  <pageMargins left="0.18" right="0.17" top="0.27" bottom="0.14000000000000001" header="0.17" footer="0.12"/>
  <pageSetup paperSize="5" scale="20" orientation="landscape"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5E0BF6-66D6-4C4A-9A83-BCC2851305F2}">
  <sheetPr>
    <pageSetUpPr fitToPage="1"/>
  </sheetPr>
  <dimension ref="A1:J38"/>
  <sheetViews>
    <sheetView showGridLines="0" topLeftCell="B4" zoomScaleNormal="100" workbookViewId="0">
      <selection activeCell="B4" sqref="A1:XFD1048576"/>
    </sheetView>
  </sheetViews>
  <sheetFormatPr defaultRowHeight="14.5" x14ac:dyDescent="0.35"/>
  <cols>
    <col min="1" max="1" width="32.453125" style="88" customWidth="1"/>
    <col min="2" max="2" width="16.1796875" style="88" bestFit="1" customWidth="1"/>
    <col min="3" max="3" width="21" style="88" bestFit="1" customWidth="1"/>
    <col min="4" max="4" width="16" style="88" customWidth="1"/>
    <col min="5" max="5" width="16" style="98" customWidth="1"/>
    <col min="6" max="6" width="17.54296875" style="87" customWidth="1"/>
    <col min="7" max="7" width="18" style="87" customWidth="1"/>
    <col min="8" max="8" width="11.453125" customWidth="1"/>
    <col min="9" max="9" width="17" customWidth="1"/>
    <col min="10" max="23" width="11.453125" bestFit="1" customWidth="1"/>
    <col min="24" max="24" width="9.54296875" bestFit="1" customWidth="1"/>
  </cols>
  <sheetData>
    <row r="1" spans="1:10" ht="15.5" x14ac:dyDescent="0.35">
      <c r="A1" s="251" t="s">
        <v>260</v>
      </c>
      <c r="B1" s="96"/>
      <c r="C1" s="97"/>
      <c r="E1" s="87"/>
    </row>
    <row r="2" spans="1:10" ht="21.65" customHeight="1" x14ac:dyDescent="0.35">
      <c r="A2" s="556" t="s">
        <v>35</v>
      </c>
      <c r="B2" s="556"/>
      <c r="C2" s="556"/>
      <c r="D2" s="556"/>
      <c r="E2" s="556"/>
      <c r="F2" s="556"/>
      <c r="I2" s="108"/>
    </row>
    <row r="3" spans="1:10" x14ac:dyDescent="0.35">
      <c r="A3" s="545" t="s">
        <v>261</v>
      </c>
      <c r="B3" s="546"/>
      <c r="C3" s="546"/>
      <c r="D3" s="546"/>
      <c r="E3" s="546"/>
      <c r="F3" s="546"/>
      <c r="G3" s="547"/>
      <c r="H3" s="15"/>
      <c r="I3" s="15"/>
      <c r="J3" s="15"/>
    </row>
    <row r="4" spans="1:10" ht="39" customHeight="1" x14ac:dyDescent="0.35">
      <c r="A4" s="574" t="s">
        <v>81</v>
      </c>
      <c r="B4" s="571" t="s">
        <v>262</v>
      </c>
      <c r="C4" s="571"/>
      <c r="D4" s="571"/>
      <c r="E4" s="572" t="s">
        <v>263</v>
      </c>
      <c r="F4" s="320" t="s">
        <v>264</v>
      </c>
      <c r="G4" s="321" t="s">
        <v>265</v>
      </c>
    </row>
    <row r="5" spans="1:10" ht="34.5" x14ac:dyDescent="0.35">
      <c r="A5" s="575"/>
      <c r="B5" s="441" t="s">
        <v>266</v>
      </c>
      <c r="C5" s="441" t="s">
        <v>267</v>
      </c>
      <c r="D5" s="521" t="s">
        <v>147</v>
      </c>
      <c r="E5" s="573"/>
      <c r="F5" s="442" t="s">
        <v>268</v>
      </c>
      <c r="G5" s="442" t="s">
        <v>269</v>
      </c>
    </row>
    <row r="6" spans="1:10" x14ac:dyDescent="0.35">
      <c r="A6" s="440">
        <v>2005</v>
      </c>
      <c r="B6" s="324">
        <v>956078</v>
      </c>
      <c r="C6" s="324">
        <v>51844</v>
      </c>
      <c r="D6" s="522">
        <f>SUM(B6:C6)</f>
        <v>1007922</v>
      </c>
      <c r="E6" s="518">
        <v>1122000</v>
      </c>
      <c r="F6" s="443"/>
      <c r="G6" s="445"/>
    </row>
    <row r="7" spans="1:10" x14ac:dyDescent="0.35">
      <c r="A7" s="440">
        <v>2006</v>
      </c>
      <c r="B7" s="333">
        <v>991759</v>
      </c>
      <c r="C7" s="333">
        <v>56068</v>
      </c>
      <c r="D7" s="523">
        <f t="shared" ref="D7:D26" si="0">SUM(B7:C7)</f>
        <v>1047827</v>
      </c>
      <c r="E7" s="519">
        <v>1122000</v>
      </c>
      <c r="F7" s="444"/>
      <c r="G7" s="446"/>
    </row>
    <row r="8" spans="1:10" x14ac:dyDescent="0.35">
      <c r="A8" s="440">
        <v>2007</v>
      </c>
      <c r="B8" s="333">
        <v>1019942</v>
      </c>
      <c r="C8" s="333">
        <v>61036.5</v>
      </c>
      <c r="D8" s="523">
        <f t="shared" si="0"/>
        <v>1080978.5</v>
      </c>
      <c r="E8" s="519">
        <v>1122000</v>
      </c>
      <c r="F8" s="444"/>
      <c r="G8" s="446"/>
    </row>
    <row r="9" spans="1:10" x14ac:dyDescent="0.35">
      <c r="A9" s="440">
        <v>2008</v>
      </c>
      <c r="B9" s="333">
        <v>1042892</v>
      </c>
      <c r="C9" s="333">
        <v>65560</v>
      </c>
      <c r="D9" s="523">
        <f t="shared" si="0"/>
        <v>1108452</v>
      </c>
      <c r="E9" s="519">
        <v>1372000</v>
      </c>
      <c r="F9" s="444">
        <v>250000</v>
      </c>
      <c r="G9" s="446"/>
    </row>
    <row r="10" spans="1:10" x14ac:dyDescent="0.35">
      <c r="A10" s="440">
        <v>2009</v>
      </c>
      <c r="B10" s="333">
        <v>1065455</v>
      </c>
      <c r="C10" s="333">
        <v>71198</v>
      </c>
      <c r="D10" s="523">
        <f t="shared" si="0"/>
        <v>1136653</v>
      </c>
      <c r="E10" s="519">
        <v>1372000</v>
      </c>
      <c r="F10" s="444"/>
      <c r="G10" s="446"/>
    </row>
    <row r="11" spans="1:10" x14ac:dyDescent="0.35">
      <c r="A11" s="440">
        <v>2010</v>
      </c>
      <c r="B11" s="333">
        <v>1071515</v>
      </c>
      <c r="C11" s="333">
        <v>74708</v>
      </c>
      <c r="D11" s="523">
        <f t="shared" si="0"/>
        <v>1146223</v>
      </c>
      <c r="E11" s="519">
        <v>1372000</v>
      </c>
      <c r="F11" s="444"/>
      <c r="G11" s="446"/>
    </row>
    <row r="12" spans="1:10" x14ac:dyDescent="0.35">
      <c r="A12" s="440">
        <v>2011</v>
      </c>
      <c r="B12" s="333">
        <v>1090936</v>
      </c>
      <c r="C12" s="333">
        <v>81891.078999999911</v>
      </c>
      <c r="D12" s="523">
        <f t="shared" si="0"/>
        <v>1172827.0789999999</v>
      </c>
      <c r="E12" s="519">
        <v>1372000</v>
      </c>
      <c r="F12" s="444"/>
      <c r="G12" s="446"/>
    </row>
    <row r="13" spans="1:10" x14ac:dyDescent="0.35">
      <c r="A13" s="440">
        <v>2012</v>
      </c>
      <c r="B13" s="333">
        <v>1120225</v>
      </c>
      <c r="C13" s="333">
        <v>86011.078999999911</v>
      </c>
      <c r="D13" s="523">
        <f t="shared" si="0"/>
        <v>1206236.0789999999</v>
      </c>
      <c r="E13" s="519">
        <v>1372000</v>
      </c>
      <c r="F13" s="444"/>
      <c r="G13" s="446"/>
    </row>
    <row r="14" spans="1:10" x14ac:dyDescent="0.35">
      <c r="A14" s="440">
        <v>2013</v>
      </c>
      <c r="B14" s="333">
        <v>1149552</v>
      </c>
      <c r="C14" s="333">
        <v>91276.078999999911</v>
      </c>
      <c r="D14" s="523">
        <f t="shared" si="0"/>
        <v>1240828.0789999999</v>
      </c>
      <c r="E14" s="519">
        <v>1372000</v>
      </c>
      <c r="F14" s="444"/>
      <c r="G14" s="446"/>
    </row>
    <row r="15" spans="1:10" x14ac:dyDescent="0.35">
      <c r="A15" s="440">
        <v>2014</v>
      </c>
      <c r="B15" s="333">
        <v>1197264</v>
      </c>
      <c r="C15" s="333">
        <v>100414.07899999991</v>
      </c>
      <c r="D15" s="523">
        <f t="shared" si="0"/>
        <v>1297678.0789999999</v>
      </c>
      <c r="E15" s="519">
        <v>1372000</v>
      </c>
      <c r="F15" s="444"/>
      <c r="G15" s="446"/>
    </row>
    <row r="16" spans="1:10" x14ac:dyDescent="0.35">
      <c r="A16" s="440">
        <v>2015</v>
      </c>
      <c r="B16" s="333">
        <v>1230641</v>
      </c>
      <c r="C16" s="333">
        <v>109879.14242857136</v>
      </c>
      <c r="D16" s="523">
        <f t="shared" si="0"/>
        <v>1340520.1424285714</v>
      </c>
      <c r="E16" s="519">
        <v>1372000</v>
      </c>
      <c r="F16" s="444"/>
      <c r="G16" s="446"/>
      <c r="H16" s="109"/>
    </row>
    <row r="17" spans="1:8" x14ac:dyDescent="0.35">
      <c r="A17" s="440">
        <v>2016</v>
      </c>
      <c r="B17" s="333">
        <v>1235167.6000000001</v>
      </c>
      <c r="C17" s="333">
        <v>114030.571</v>
      </c>
      <c r="D17" s="523">
        <f t="shared" si="0"/>
        <v>1349198.1710000001</v>
      </c>
      <c r="E17" s="519">
        <v>1419750</v>
      </c>
      <c r="F17" s="444"/>
      <c r="G17" s="446">
        <v>47750</v>
      </c>
    </row>
    <row r="18" spans="1:8" x14ac:dyDescent="0.35">
      <c r="A18" s="440">
        <v>2017</v>
      </c>
      <c r="B18" s="333">
        <v>1246330</v>
      </c>
      <c r="C18" s="333">
        <v>119156.571</v>
      </c>
      <c r="D18" s="523">
        <f t="shared" si="0"/>
        <v>1365486.571</v>
      </c>
      <c r="E18" s="519">
        <v>1435500</v>
      </c>
      <c r="F18" s="444"/>
      <c r="G18" s="446">
        <v>15750</v>
      </c>
    </row>
    <row r="19" spans="1:8" x14ac:dyDescent="0.35">
      <c r="A19" s="440">
        <v>2018</v>
      </c>
      <c r="B19" s="333">
        <v>1267831.2</v>
      </c>
      <c r="C19" s="333">
        <v>124618.57100000023</v>
      </c>
      <c r="D19" s="523">
        <f t="shared" si="0"/>
        <v>1392449.7710000002</v>
      </c>
      <c r="E19" s="519">
        <v>1476250</v>
      </c>
      <c r="F19" s="444">
        <v>25000</v>
      </c>
      <c r="G19" s="446">
        <v>15750</v>
      </c>
    </row>
    <row r="20" spans="1:8" x14ac:dyDescent="0.35">
      <c r="A20" s="440">
        <v>2019</v>
      </c>
      <c r="B20" s="333">
        <v>1285711</v>
      </c>
      <c r="C20" s="333">
        <v>130079.71399999992</v>
      </c>
      <c r="D20" s="523">
        <f t="shared" si="0"/>
        <v>1415790.7139999999</v>
      </c>
      <c r="E20" s="519">
        <v>1492000</v>
      </c>
      <c r="F20" s="444"/>
      <c r="G20" s="446">
        <v>15750</v>
      </c>
    </row>
    <row r="21" spans="1:8" x14ac:dyDescent="0.35">
      <c r="A21" s="440">
        <v>2020</v>
      </c>
      <c r="B21" s="333">
        <v>1296247.5</v>
      </c>
      <c r="C21" s="333">
        <v>133574.71400000015</v>
      </c>
      <c r="D21" s="523">
        <f t="shared" si="0"/>
        <v>1429822.2140000002</v>
      </c>
      <c r="E21" s="519">
        <v>1492000</v>
      </c>
      <c r="F21" s="444"/>
      <c r="G21" s="446"/>
    </row>
    <row r="22" spans="1:8" x14ac:dyDescent="0.35">
      <c r="A22" s="440">
        <v>2021</v>
      </c>
      <c r="B22" s="333">
        <v>1306784</v>
      </c>
      <c r="C22" s="333">
        <v>137075.71399999992</v>
      </c>
      <c r="D22" s="523">
        <f t="shared" si="0"/>
        <v>1443859.7139999999</v>
      </c>
      <c r="E22" s="519">
        <v>1708700</v>
      </c>
      <c r="F22" s="444"/>
      <c r="G22" s="446">
        <v>216700</v>
      </c>
    </row>
    <row r="23" spans="1:8" x14ac:dyDescent="0.35">
      <c r="A23" s="440">
        <v>2023</v>
      </c>
      <c r="B23" s="333">
        <v>1371481.7916993333</v>
      </c>
      <c r="C23" s="333">
        <v>148908.91400000011</v>
      </c>
      <c r="D23" s="523">
        <f t="shared" si="0"/>
        <v>1520390.7056993335</v>
      </c>
      <c r="E23" s="519">
        <v>1708700</v>
      </c>
      <c r="F23" s="444"/>
      <c r="G23" s="446"/>
    </row>
    <row r="24" spans="1:8" x14ac:dyDescent="0.35">
      <c r="A24" s="440">
        <v>2028</v>
      </c>
      <c r="B24" s="333">
        <v>1480920.0405362002</v>
      </c>
      <c r="C24" s="333">
        <v>179022.66400000011</v>
      </c>
      <c r="D24" s="523">
        <f t="shared" si="0"/>
        <v>1659942.7045362003</v>
      </c>
      <c r="E24" s="519">
        <v>1921000</v>
      </c>
      <c r="F24" s="444">
        <v>104000</v>
      </c>
      <c r="G24" s="446">
        <v>108300</v>
      </c>
    </row>
    <row r="25" spans="1:8" x14ac:dyDescent="0.35">
      <c r="A25" s="440">
        <v>2033</v>
      </c>
      <c r="B25" s="333">
        <v>1567584.7727774007</v>
      </c>
      <c r="C25" s="333">
        <v>205415.08066666638</v>
      </c>
      <c r="D25" s="523">
        <f t="shared" si="0"/>
        <v>1772999.8534440671</v>
      </c>
      <c r="E25" s="519">
        <v>1971000</v>
      </c>
      <c r="F25" s="444">
        <v>50000</v>
      </c>
      <c r="G25" s="446"/>
    </row>
    <row r="26" spans="1:8" x14ac:dyDescent="0.35">
      <c r="A26" s="447">
        <v>2038</v>
      </c>
      <c r="B26" s="448">
        <v>1648465.8365328002</v>
      </c>
      <c r="C26" s="448">
        <v>232371.19733333332</v>
      </c>
      <c r="D26" s="524">
        <f t="shared" si="0"/>
        <v>1880837.0338661335</v>
      </c>
      <c r="E26" s="520">
        <v>2433500</v>
      </c>
      <c r="F26" s="449">
        <v>162500</v>
      </c>
      <c r="G26" s="450">
        <v>300000</v>
      </c>
      <c r="H26" s="109"/>
    </row>
    <row r="30" spans="1:8" x14ac:dyDescent="0.35">
      <c r="A30" s="568" t="s">
        <v>270</v>
      </c>
      <c r="B30" s="569"/>
      <c r="C30" s="569"/>
      <c r="D30" s="569"/>
      <c r="E30" s="570"/>
    </row>
    <row r="31" spans="1:8" ht="46" x14ac:dyDescent="0.35">
      <c r="A31" s="389" t="s">
        <v>163</v>
      </c>
      <c r="B31" s="265" t="s">
        <v>164</v>
      </c>
      <c r="C31" s="266" t="s">
        <v>165</v>
      </c>
      <c r="D31" s="266" t="s">
        <v>166</v>
      </c>
      <c r="E31" s="267" t="s">
        <v>271</v>
      </c>
    </row>
    <row r="32" spans="1:8" x14ac:dyDescent="0.35">
      <c r="A32" s="390" t="s">
        <v>272</v>
      </c>
      <c r="B32" s="300">
        <f>'Tab 10 - WWTP Capacity'!F9</f>
        <v>250000</v>
      </c>
      <c r="C32" s="451">
        <v>0.97</v>
      </c>
      <c r="D32" s="392">
        <f>+B32*C32</f>
        <v>242500</v>
      </c>
      <c r="E32" s="297">
        <v>0</v>
      </c>
    </row>
    <row r="33" spans="1:5" x14ac:dyDescent="0.35">
      <c r="A33" s="393" t="s">
        <v>273</v>
      </c>
      <c r="B33" s="452"/>
      <c r="C33" s="453"/>
      <c r="D33" s="392"/>
      <c r="E33" s="297"/>
    </row>
    <row r="34" spans="1:5" x14ac:dyDescent="0.35">
      <c r="A34" s="454" t="s">
        <v>180</v>
      </c>
      <c r="B34" s="300">
        <f>'Tab 10 - WWTP Capacity'!G17+'Tab 10 - WWTP Capacity'!G18+'Tab 10 - WWTP Capacity'!G19+'Tab 10 - WWTP Capacity'!G20+'Tab 10 - WWTP Capacity'!G22+'Tab 10 - WWTP Capacity'!G24</f>
        <v>420000</v>
      </c>
      <c r="C34" s="453">
        <v>0.76600000000000001</v>
      </c>
      <c r="D34" s="392">
        <f>+B34*C34</f>
        <v>321720</v>
      </c>
      <c r="E34" s="297">
        <f>('Tab 10 - WWTP Capacity'!E23-'Tab 10 - WWTP Capacity'!D23+'Tab 10 - WWTP Capacity'!G24-'Tab 10 - WWTP Capacity'!F19)*'Tab 10 - WWTP Capacity'!C34</f>
        <v>208052.71943431057</v>
      </c>
    </row>
    <row r="35" spans="1:5" ht="15" x14ac:dyDescent="0.4">
      <c r="A35" s="454" t="s">
        <v>274</v>
      </c>
      <c r="B35" s="455">
        <f>'Tab 10 - WWTP Capacity'!F25+'Tab 10 - WWTP Capacity'!F26</f>
        <v>212500</v>
      </c>
      <c r="C35" s="453">
        <v>0.75800000000000001</v>
      </c>
      <c r="D35" s="308">
        <f>+B35*C35</f>
        <v>161075</v>
      </c>
      <c r="E35" s="456">
        <f>+D35</f>
        <v>161075</v>
      </c>
    </row>
    <row r="36" spans="1:5" x14ac:dyDescent="0.35">
      <c r="A36" s="393" t="s">
        <v>275</v>
      </c>
      <c r="B36" s="300">
        <f>SUM(B32:B35)</f>
        <v>882500</v>
      </c>
      <c r="C36" s="453"/>
      <c r="D36" s="392">
        <f>+D34+D35</f>
        <v>482795</v>
      </c>
      <c r="E36" s="297">
        <f>+E34+E35</f>
        <v>369127.71943431057</v>
      </c>
    </row>
    <row r="37" spans="1:5" x14ac:dyDescent="0.35">
      <c r="A37" s="393"/>
      <c r="B37" s="452"/>
      <c r="C37" s="453"/>
      <c r="D37" s="457"/>
      <c r="E37" s="297"/>
    </row>
    <row r="38" spans="1:5" x14ac:dyDescent="0.35">
      <c r="A38" s="394" t="s">
        <v>170</v>
      </c>
      <c r="B38" s="458"/>
      <c r="C38" s="459"/>
      <c r="D38" s="460"/>
      <c r="E38" s="398">
        <f>+E32+E36</f>
        <v>369127.71943431057</v>
      </c>
    </row>
  </sheetData>
  <mergeCells count="6">
    <mergeCell ref="A30:E30"/>
    <mergeCell ref="B4:D4"/>
    <mergeCell ref="E4:E5"/>
    <mergeCell ref="A2:F2"/>
    <mergeCell ref="A3:G3"/>
    <mergeCell ref="A4:A5"/>
  </mergeCells>
  <pageMargins left="0.7" right="0.7" top="0.21" bottom="0.28999999999999998" header="0.2" footer="0.3"/>
  <pageSetup paperSize="5" scale="90" orientation="landscape"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732D5B-E9E0-42C8-926D-4E27B4D7962D}">
  <sheetPr>
    <pageSetUpPr fitToPage="1"/>
  </sheetPr>
  <dimension ref="A1:Z67"/>
  <sheetViews>
    <sheetView showGridLines="0" topLeftCell="A28" zoomScaleNormal="100" workbookViewId="0">
      <selection activeCell="H63" sqref="H63"/>
    </sheetView>
  </sheetViews>
  <sheetFormatPr defaultColWidth="9.1796875" defaultRowHeight="11.5" outlineLevelRow="1" x14ac:dyDescent="0.25"/>
  <cols>
    <col min="1" max="1" width="20.1796875" style="16" customWidth="1"/>
    <col min="2" max="2" width="16.453125" style="16" customWidth="1"/>
    <col min="3" max="3" width="14.54296875" style="16" customWidth="1"/>
    <col min="4" max="4" width="9.54296875" style="16" customWidth="1"/>
    <col min="5" max="5" width="10.81640625" style="16" customWidth="1"/>
    <col min="6" max="7" width="9.1796875" style="16" customWidth="1"/>
    <col min="8" max="8" width="8.54296875" style="16" customWidth="1"/>
    <col min="9" max="10" width="8.453125" style="16" customWidth="1"/>
    <col min="11" max="11" width="8.54296875" style="16" customWidth="1"/>
    <col min="12" max="12" width="10.81640625" style="16" customWidth="1"/>
    <col min="13" max="13" width="10.81640625" style="16" bestFit="1" customWidth="1"/>
    <col min="14" max="14" width="7" style="16" customWidth="1"/>
    <col min="15" max="15" width="106.453125" style="16" customWidth="1"/>
    <col min="16" max="16384" width="9.1796875" style="16"/>
  </cols>
  <sheetData>
    <row r="1" spans="1:26" customFormat="1" ht="15.5" x14ac:dyDescent="0.35">
      <c r="A1" s="251" t="s">
        <v>276</v>
      </c>
      <c r="B1" s="96"/>
      <c r="C1" s="97"/>
      <c r="D1" s="88"/>
      <c r="E1" s="87"/>
      <c r="F1" s="87"/>
      <c r="G1" s="87"/>
    </row>
    <row r="2" spans="1:26" customFormat="1" ht="14.5" x14ac:dyDescent="0.35">
      <c r="A2" s="556" t="s">
        <v>38</v>
      </c>
      <c r="B2" s="556"/>
      <c r="C2" s="556"/>
      <c r="D2" s="556"/>
      <c r="E2" s="556"/>
      <c r="F2" s="556"/>
      <c r="G2" s="556"/>
      <c r="H2" s="556"/>
      <c r="I2" s="556"/>
      <c r="J2" s="556"/>
      <c r="K2" s="556"/>
      <c r="L2" s="556"/>
      <c r="M2" s="556"/>
    </row>
    <row r="3" spans="1:26" customFormat="1" ht="14.5" x14ac:dyDescent="0.35">
      <c r="A3" s="556"/>
      <c r="B3" s="556"/>
      <c r="C3" s="556"/>
      <c r="D3" s="556"/>
      <c r="E3" s="556"/>
      <c r="F3" s="556"/>
      <c r="G3" s="556"/>
      <c r="H3" s="556"/>
      <c r="I3" s="556"/>
      <c r="J3" s="556"/>
      <c r="K3" s="556"/>
      <c r="L3" s="556"/>
      <c r="M3" s="556"/>
    </row>
    <row r="4" spans="1:26" customFormat="1" ht="44.5" customHeight="1" x14ac:dyDescent="0.35">
      <c r="A4" s="556"/>
      <c r="B4" s="556"/>
      <c r="C4" s="556"/>
      <c r="D4" s="556"/>
      <c r="E4" s="556"/>
      <c r="F4" s="556"/>
      <c r="G4" s="556"/>
      <c r="H4" s="556"/>
      <c r="I4" s="556"/>
      <c r="J4" s="556"/>
      <c r="K4" s="556"/>
      <c r="L4" s="556"/>
      <c r="M4" s="556"/>
    </row>
    <row r="5" spans="1:26" s="14" customFormat="1" ht="15" customHeight="1" x14ac:dyDescent="0.25">
      <c r="A5" s="578" t="s">
        <v>277</v>
      </c>
      <c r="B5" s="579"/>
      <c r="C5" s="580"/>
      <c r="D5" s="110"/>
      <c r="E5" s="584" t="s">
        <v>278</v>
      </c>
      <c r="F5" s="585"/>
      <c r="G5" s="585"/>
      <c r="H5" s="585"/>
      <c r="I5" s="585"/>
      <c r="J5" s="585"/>
      <c r="K5" s="585"/>
      <c r="L5" s="585"/>
      <c r="M5" s="586"/>
      <c r="N5" s="111"/>
      <c r="O5" s="110"/>
    </row>
    <row r="6" spans="1:26" s="14" customFormat="1" x14ac:dyDescent="0.25">
      <c r="A6" s="581"/>
      <c r="B6" s="582"/>
      <c r="C6" s="583"/>
      <c r="D6" s="110"/>
      <c r="E6" s="587"/>
      <c r="F6" s="588"/>
      <c r="G6" s="588"/>
      <c r="H6" s="588"/>
      <c r="I6" s="588"/>
      <c r="J6" s="588"/>
      <c r="K6" s="588"/>
      <c r="L6" s="588"/>
      <c r="M6" s="589"/>
      <c r="N6" s="112"/>
    </row>
    <row r="7" spans="1:26" ht="60" customHeight="1" thickBot="1" x14ac:dyDescent="0.3">
      <c r="A7" s="576" t="s">
        <v>279</v>
      </c>
      <c r="B7" s="577"/>
      <c r="C7" s="463" t="s">
        <v>280</v>
      </c>
      <c r="D7" s="113"/>
      <c r="E7" s="463" t="s">
        <v>281</v>
      </c>
      <c r="F7" s="464" t="s">
        <v>282</v>
      </c>
      <c r="G7" s="464" t="s">
        <v>283</v>
      </c>
      <c r="H7" s="464" t="s">
        <v>284</v>
      </c>
      <c r="I7" s="464" t="s">
        <v>285</v>
      </c>
      <c r="J7" s="464" t="s">
        <v>286</v>
      </c>
      <c r="K7" s="464" t="s">
        <v>287</v>
      </c>
      <c r="L7" s="464" t="s">
        <v>288</v>
      </c>
      <c r="M7" s="465" t="s">
        <v>289</v>
      </c>
      <c r="N7" s="113"/>
      <c r="P7" s="113"/>
      <c r="Q7" s="113"/>
      <c r="R7" s="113"/>
      <c r="S7" s="113"/>
      <c r="T7" s="113"/>
      <c r="U7" s="113"/>
      <c r="V7" s="113"/>
    </row>
    <row r="8" spans="1:26" x14ac:dyDescent="0.25">
      <c r="A8" s="23"/>
      <c r="C8" s="114"/>
      <c r="D8" s="25"/>
      <c r="E8" s="114"/>
      <c r="F8" s="115"/>
      <c r="G8" s="115"/>
      <c r="H8" s="115"/>
      <c r="I8" s="115"/>
      <c r="J8" s="115"/>
      <c r="K8" s="170"/>
      <c r="L8" s="115"/>
      <c r="M8" s="115"/>
      <c r="N8" s="25"/>
    </row>
    <row r="9" spans="1:26" x14ac:dyDescent="0.25">
      <c r="A9" s="116" t="s">
        <v>290</v>
      </c>
      <c r="B9" s="14"/>
      <c r="C9" s="461">
        <v>20</v>
      </c>
      <c r="D9" s="25"/>
      <c r="E9" s="461">
        <f>G9</f>
        <v>2.8571428571428572</v>
      </c>
      <c r="F9" s="161">
        <f>$C$9/7</f>
        <v>2.8571428571428572</v>
      </c>
      <c r="G9" s="161">
        <f t="shared" ref="G9:L9" si="0">$C$9/7</f>
        <v>2.8571428571428572</v>
      </c>
      <c r="H9" s="161">
        <f t="shared" si="0"/>
        <v>2.8571428571428572</v>
      </c>
      <c r="I9" s="161">
        <f t="shared" si="0"/>
        <v>2.8571428571428572</v>
      </c>
      <c r="J9" s="161">
        <f t="shared" si="0"/>
        <v>2.8571428571428572</v>
      </c>
      <c r="K9" s="466">
        <f t="shared" si="0"/>
        <v>2.8571428571428572</v>
      </c>
      <c r="L9" s="161">
        <f t="shared" si="0"/>
        <v>2.8571428571428572</v>
      </c>
      <c r="M9" s="161">
        <f>SUM(F9:L9)</f>
        <v>20</v>
      </c>
      <c r="N9" s="25"/>
      <c r="O9" s="117"/>
      <c r="P9" s="25"/>
      <c r="Q9" s="25"/>
      <c r="R9" s="25"/>
      <c r="S9" s="25"/>
      <c r="T9" s="25"/>
      <c r="U9" s="25"/>
      <c r="V9" s="25"/>
      <c r="W9" s="118"/>
      <c r="X9" s="25"/>
      <c r="Y9" s="117"/>
      <c r="Z9" s="117"/>
    </row>
    <row r="10" spans="1:26" x14ac:dyDescent="0.25">
      <c r="A10" s="116"/>
      <c r="B10" s="14"/>
      <c r="C10" s="461"/>
      <c r="D10" s="25"/>
      <c r="E10" s="461"/>
      <c r="F10" s="161"/>
      <c r="G10" s="161"/>
      <c r="H10" s="161"/>
      <c r="I10" s="161"/>
      <c r="J10" s="161"/>
      <c r="K10" s="466"/>
      <c r="L10" s="161"/>
      <c r="M10" s="161"/>
      <c r="N10" s="25"/>
      <c r="P10" s="25"/>
      <c r="Q10" s="25"/>
      <c r="R10" s="25"/>
      <c r="S10" s="25"/>
      <c r="T10" s="25"/>
      <c r="U10" s="25"/>
      <c r="V10" s="25"/>
    </row>
    <row r="11" spans="1:26" x14ac:dyDescent="0.25">
      <c r="A11" s="116" t="s">
        <v>291</v>
      </c>
      <c r="B11" s="14"/>
      <c r="C11" s="461">
        <f>SUM(C12:C15)</f>
        <v>42</v>
      </c>
      <c r="D11" s="25"/>
      <c r="E11" s="461">
        <f>SUM(E12:E15)</f>
        <v>11.166666666666668</v>
      </c>
      <c r="F11" s="161"/>
      <c r="G11" s="161"/>
      <c r="H11" s="161"/>
      <c r="I11" s="161"/>
      <c r="J11" s="161"/>
      <c r="K11" s="466"/>
      <c r="L11" s="161"/>
      <c r="M11" s="161"/>
      <c r="N11" s="25"/>
      <c r="P11" s="25"/>
      <c r="Q11" s="25"/>
      <c r="R11" s="25"/>
      <c r="S11" s="25"/>
      <c r="T11" s="25"/>
      <c r="U11" s="25"/>
      <c r="V11" s="25"/>
      <c r="X11" s="25"/>
      <c r="Y11" s="117"/>
      <c r="Z11" s="117"/>
    </row>
    <row r="12" spans="1:26" outlineLevel="1" x14ac:dyDescent="0.25">
      <c r="A12" s="23"/>
      <c r="B12" s="16" t="s">
        <v>292</v>
      </c>
      <c r="C12" s="160">
        <v>15</v>
      </c>
      <c r="D12" s="119"/>
      <c r="E12" s="461">
        <f>G12</f>
        <v>5</v>
      </c>
      <c r="F12" s="161">
        <f>$C$12/3</f>
        <v>5</v>
      </c>
      <c r="G12" s="161">
        <f t="shared" ref="G12:H12" si="1">$C$12/3</f>
        <v>5</v>
      </c>
      <c r="H12" s="161">
        <f t="shared" si="1"/>
        <v>5</v>
      </c>
      <c r="I12" s="162"/>
      <c r="J12" s="162"/>
      <c r="K12" s="467"/>
      <c r="L12" s="161"/>
      <c r="M12" s="161">
        <f>SUM(F12:L12)</f>
        <v>15</v>
      </c>
      <c r="N12" s="25"/>
      <c r="O12" s="120"/>
      <c r="P12" s="25"/>
      <c r="Q12" s="25"/>
      <c r="R12" s="25"/>
      <c r="S12" s="25"/>
      <c r="T12" s="25"/>
      <c r="U12" s="25"/>
      <c r="V12" s="25"/>
      <c r="Y12" s="117"/>
      <c r="Z12" s="117"/>
    </row>
    <row r="13" spans="1:26" outlineLevel="1" x14ac:dyDescent="0.25">
      <c r="A13" s="23"/>
      <c r="B13" s="16" t="s">
        <v>293</v>
      </c>
      <c r="C13" s="160">
        <v>7.5</v>
      </c>
      <c r="D13" s="119"/>
      <c r="E13" s="461">
        <f>G13</f>
        <v>0</v>
      </c>
      <c r="F13" s="161">
        <f>+C13</f>
        <v>7.5</v>
      </c>
      <c r="G13" s="162"/>
      <c r="H13" s="161"/>
      <c r="I13" s="161"/>
      <c r="J13" s="162"/>
      <c r="K13" s="467"/>
      <c r="L13" s="161"/>
      <c r="M13" s="161">
        <f>SUM(F13:L13)</f>
        <v>7.5</v>
      </c>
      <c r="N13" s="25"/>
      <c r="P13" s="25"/>
      <c r="Q13" s="25"/>
      <c r="R13" s="25"/>
      <c r="S13" s="25"/>
      <c r="T13" s="25"/>
      <c r="U13" s="25"/>
      <c r="V13" s="25"/>
      <c r="Y13" s="117"/>
      <c r="Z13" s="117"/>
    </row>
    <row r="14" spans="1:26" outlineLevel="1" x14ac:dyDescent="0.25">
      <c r="A14" s="23"/>
      <c r="B14" s="16" t="s">
        <v>294</v>
      </c>
      <c r="C14" s="160">
        <v>12.5</v>
      </c>
      <c r="D14" s="119"/>
      <c r="E14" s="461">
        <f>G14</f>
        <v>4.166666666666667</v>
      </c>
      <c r="F14" s="161">
        <f>$C$14/3</f>
        <v>4.166666666666667</v>
      </c>
      <c r="G14" s="161">
        <f t="shared" ref="G14:H14" si="2">$C$14/3</f>
        <v>4.166666666666667</v>
      </c>
      <c r="H14" s="161">
        <f t="shared" si="2"/>
        <v>4.166666666666667</v>
      </c>
      <c r="I14" s="161"/>
      <c r="J14" s="162"/>
      <c r="K14" s="467"/>
      <c r="L14" s="161"/>
      <c r="M14" s="161">
        <f>SUM(F14:L14)</f>
        <v>12.5</v>
      </c>
      <c r="N14" s="25"/>
      <c r="O14" s="120"/>
      <c r="P14" s="25"/>
      <c r="Q14" s="25"/>
      <c r="R14" s="25"/>
      <c r="S14" s="25"/>
      <c r="T14" s="25"/>
      <c r="U14" s="25"/>
      <c r="V14" s="25"/>
      <c r="Y14" s="117"/>
      <c r="Z14" s="117"/>
    </row>
    <row r="15" spans="1:26" outlineLevel="1" x14ac:dyDescent="0.25">
      <c r="A15" s="23"/>
      <c r="B15" s="16" t="s">
        <v>295</v>
      </c>
      <c r="C15" s="160">
        <v>7</v>
      </c>
      <c r="D15" s="119"/>
      <c r="E15" s="461">
        <f>G15</f>
        <v>2</v>
      </c>
      <c r="F15" s="161">
        <f>3</f>
        <v>3</v>
      </c>
      <c r="G15" s="161">
        <f>(C15-F15)/2</f>
        <v>2</v>
      </c>
      <c r="H15" s="161">
        <f>(C15-F15)/2</f>
        <v>2</v>
      </c>
      <c r="I15" s="161"/>
      <c r="J15" s="162"/>
      <c r="K15" s="467"/>
      <c r="L15" s="161"/>
      <c r="M15" s="161">
        <f>SUM(F15:L15)</f>
        <v>7</v>
      </c>
      <c r="N15" s="25"/>
      <c r="O15" s="121"/>
      <c r="P15" s="25"/>
      <c r="Q15" s="25"/>
      <c r="R15" s="25"/>
      <c r="S15" s="25"/>
      <c r="T15" s="25"/>
      <c r="U15" s="25"/>
      <c r="V15" s="25"/>
      <c r="Y15" s="117"/>
      <c r="Z15" s="117"/>
    </row>
    <row r="16" spans="1:26" x14ac:dyDescent="0.25">
      <c r="A16" s="23"/>
      <c r="C16" s="160"/>
      <c r="D16" s="25"/>
      <c r="E16" s="461"/>
      <c r="F16" s="161"/>
      <c r="G16" s="161"/>
      <c r="H16" s="161"/>
      <c r="I16" s="161"/>
      <c r="J16" s="161"/>
      <c r="K16" s="466"/>
      <c r="L16" s="161"/>
      <c r="M16" s="161"/>
      <c r="N16" s="25"/>
      <c r="P16" s="25"/>
      <c r="Q16" s="25"/>
      <c r="R16" s="25"/>
      <c r="S16" s="25"/>
      <c r="T16" s="25"/>
      <c r="U16" s="25"/>
      <c r="V16" s="25"/>
      <c r="Y16" s="117"/>
      <c r="Z16" s="117"/>
    </row>
    <row r="17" spans="1:26" x14ac:dyDescent="0.25">
      <c r="A17" s="116" t="s">
        <v>296</v>
      </c>
      <c r="B17" s="14"/>
      <c r="C17" s="461">
        <f>SUM(C18:C19)</f>
        <v>36</v>
      </c>
      <c r="D17" s="25"/>
      <c r="E17" s="461"/>
      <c r="F17" s="161"/>
      <c r="G17" s="161"/>
      <c r="H17" s="161"/>
      <c r="I17" s="161"/>
      <c r="J17" s="161"/>
      <c r="K17" s="466"/>
      <c r="L17" s="161"/>
      <c r="M17" s="161"/>
      <c r="N17" s="25"/>
      <c r="P17" s="25"/>
      <c r="Q17" s="25"/>
      <c r="R17" s="25"/>
      <c r="S17" s="25"/>
      <c r="T17" s="25"/>
      <c r="U17" s="25"/>
      <c r="V17" s="25"/>
      <c r="X17" s="25"/>
      <c r="Y17" s="117"/>
      <c r="Z17" s="117"/>
    </row>
    <row r="18" spans="1:26" outlineLevel="1" x14ac:dyDescent="0.25">
      <c r="A18" s="23"/>
      <c r="B18" s="16" t="s">
        <v>297</v>
      </c>
      <c r="C18" s="160">
        <v>18</v>
      </c>
      <c r="D18" s="25"/>
      <c r="E18" s="461">
        <v>0</v>
      </c>
      <c r="F18" s="161">
        <f>+C18</f>
        <v>18</v>
      </c>
      <c r="G18" s="161"/>
      <c r="H18" s="161"/>
      <c r="I18" s="161"/>
      <c r="J18" s="161"/>
      <c r="K18" s="466"/>
      <c r="L18" s="161"/>
      <c r="M18" s="161">
        <f>SUM(F18:L18)</f>
        <v>18</v>
      </c>
      <c r="N18" s="25"/>
      <c r="P18" s="25"/>
      <c r="Q18" s="25"/>
      <c r="R18" s="25"/>
      <c r="S18" s="25"/>
      <c r="T18" s="25"/>
      <c r="U18" s="25"/>
      <c r="V18" s="25"/>
      <c r="Y18" s="117"/>
      <c r="Z18" s="117"/>
    </row>
    <row r="19" spans="1:26" outlineLevel="1" x14ac:dyDescent="0.25">
      <c r="A19" s="23"/>
      <c r="B19" s="16" t="s">
        <v>298</v>
      </c>
      <c r="C19" s="160">
        <v>18</v>
      </c>
      <c r="D19" s="25"/>
      <c r="E19" s="461">
        <v>0</v>
      </c>
      <c r="F19" s="161">
        <f>+C19</f>
        <v>18</v>
      </c>
      <c r="G19" s="161"/>
      <c r="H19" s="161"/>
      <c r="I19" s="161"/>
      <c r="J19" s="161"/>
      <c r="K19" s="466"/>
      <c r="L19" s="161"/>
      <c r="M19" s="161">
        <f>SUM(F19:L19)</f>
        <v>18</v>
      </c>
      <c r="N19" s="25"/>
      <c r="O19" s="121"/>
      <c r="P19" s="25"/>
      <c r="Q19" s="25"/>
      <c r="R19" s="25"/>
      <c r="S19" s="25"/>
      <c r="T19" s="25"/>
      <c r="U19" s="25"/>
      <c r="V19" s="25"/>
      <c r="Y19" s="117"/>
      <c r="Z19" s="117"/>
    </row>
    <row r="20" spans="1:26" outlineLevel="1" x14ac:dyDescent="0.25">
      <c r="A20" s="26"/>
      <c r="B20" s="27"/>
      <c r="C20" s="163"/>
      <c r="D20" s="25"/>
      <c r="E20" s="472"/>
      <c r="F20" s="164"/>
      <c r="G20" s="164"/>
      <c r="H20" s="164"/>
      <c r="I20" s="164"/>
      <c r="J20" s="164"/>
      <c r="K20" s="468"/>
      <c r="L20" s="164"/>
      <c r="M20" s="164"/>
      <c r="N20" s="25"/>
      <c r="O20" s="169"/>
      <c r="P20" s="25"/>
      <c r="Q20" s="25"/>
      <c r="R20" s="25"/>
      <c r="S20" s="25"/>
      <c r="T20" s="25"/>
      <c r="U20" s="25"/>
      <c r="V20" s="25"/>
      <c r="Y20" s="117"/>
      <c r="Z20" s="117"/>
    </row>
    <row r="21" spans="1:26" x14ac:dyDescent="0.25">
      <c r="A21" s="23"/>
      <c r="C21" s="160"/>
      <c r="D21" s="25"/>
      <c r="E21" s="461"/>
      <c r="F21" s="161"/>
      <c r="G21" s="161"/>
      <c r="H21" s="161"/>
      <c r="I21" s="161"/>
      <c r="J21" s="161"/>
      <c r="K21" s="466"/>
      <c r="L21" s="161"/>
      <c r="M21" s="161"/>
      <c r="N21" s="170"/>
      <c r="P21" s="25"/>
      <c r="Q21" s="25"/>
      <c r="R21" s="25"/>
      <c r="S21" s="25"/>
      <c r="T21" s="25"/>
      <c r="U21" s="25"/>
      <c r="V21" s="25"/>
      <c r="Y21" s="117"/>
      <c r="Z21" s="117"/>
    </row>
    <row r="22" spans="1:26" x14ac:dyDescent="0.25">
      <c r="A22" s="116" t="s">
        <v>299</v>
      </c>
      <c r="C22" s="461">
        <f>SUM(C23:C25)</f>
        <v>77</v>
      </c>
      <c r="D22" s="25"/>
      <c r="E22" s="461">
        <f>SUM(E23:E25)</f>
        <v>3.5</v>
      </c>
      <c r="F22" s="161"/>
      <c r="G22" s="161"/>
      <c r="H22" s="161"/>
      <c r="I22" s="161"/>
      <c r="J22" s="161"/>
      <c r="K22" s="466"/>
      <c r="L22" s="161"/>
      <c r="M22" s="161"/>
      <c r="N22" s="25"/>
      <c r="P22" s="25"/>
      <c r="Q22" s="25"/>
      <c r="R22" s="25"/>
      <c r="S22" s="25"/>
      <c r="T22" s="25"/>
      <c r="U22" s="25"/>
      <c r="V22" s="25"/>
      <c r="X22" s="25"/>
      <c r="Y22" s="117"/>
      <c r="Z22" s="117"/>
    </row>
    <row r="23" spans="1:26" outlineLevel="1" x14ac:dyDescent="0.25">
      <c r="A23" s="23"/>
      <c r="B23" s="16" t="s">
        <v>300</v>
      </c>
      <c r="C23" s="160">
        <v>36</v>
      </c>
      <c r="D23" s="25"/>
      <c r="E23" s="461">
        <v>0</v>
      </c>
      <c r="F23" s="161">
        <f>+C23</f>
        <v>36</v>
      </c>
      <c r="G23" s="161"/>
      <c r="H23" s="161"/>
      <c r="I23" s="161"/>
      <c r="J23" s="161"/>
      <c r="K23" s="466"/>
      <c r="L23" s="161"/>
      <c r="M23" s="161">
        <f>SUM(F23:L23)</f>
        <v>36</v>
      </c>
      <c r="N23" s="25"/>
      <c r="P23" s="25"/>
      <c r="Q23" s="25"/>
      <c r="R23" s="25"/>
      <c r="S23" s="25"/>
      <c r="T23" s="25"/>
      <c r="U23" s="25"/>
      <c r="V23" s="25"/>
      <c r="Y23" s="117"/>
      <c r="Z23" s="117"/>
    </row>
    <row r="24" spans="1:26" outlineLevel="1" x14ac:dyDescent="0.25">
      <c r="A24" s="23"/>
      <c r="B24" s="16" t="s">
        <v>301</v>
      </c>
      <c r="C24" s="160">
        <v>25</v>
      </c>
      <c r="D24" s="25"/>
      <c r="E24" s="461">
        <v>0</v>
      </c>
      <c r="F24" s="161">
        <f>+C24</f>
        <v>25</v>
      </c>
      <c r="G24" s="161"/>
      <c r="H24" s="161"/>
      <c r="I24" s="161"/>
      <c r="J24" s="161"/>
      <c r="K24" s="466"/>
      <c r="L24" s="161"/>
      <c r="M24" s="161">
        <f>SUM(F24:L24)</f>
        <v>25</v>
      </c>
      <c r="N24" s="25"/>
      <c r="P24" s="25"/>
      <c r="Q24" s="25"/>
      <c r="R24" s="25"/>
      <c r="S24" s="25"/>
      <c r="T24" s="25"/>
      <c r="U24" s="25"/>
      <c r="V24" s="25"/>
      <c r="Y24" s="117"/>
      <c r="Z24" s="117"/>
    </row>
    <row r="25" spans="1:26" outlineLevel="1" x14ac:dyDescent="0.25">
      <c r="A25" s="23"/>
      <c r="B25" s="16" t="s">
        <v>302</v>
      </c>
      <c r="C25" s="160">
        <v>16</v>
      </c>
      <c r="D25" s="25"/>
      <c r="E25" s="461">
        <f>G25</f>
        <v>3.5</v>
      </c>
      <c r="F25" s="161">
        <v>9</v>
      </c>
      <c r="G25" s="161">
        <f>(C25-F25)/2</f>
        <v>3.5</v>
      </c>
      <c r="H25" s="161">
        <f>(C25-F25)/2</f>
        <v>3.5</v>
      </c>
      <c r="I25" s="161"/>
      <c r="J25" s="161"/>
      <c r="K25" s="466"/>
      <c r="L25" s="161"/>
      <c r="M25" s="161">
        <f>SUM(F25:L25)</f>
        <v>16</v>
      </c>
      <c r="N25" s="25"/>
      <c r="P25" s="25"/>
      <c r="Q25" s="25"/>
      <c r="R25" s="25"/>
      <c r="S25" s="25"/>
      <c r="T25" s="25"/>
      <c r="U25" s="25"/>
      <c r="V25" s="25"/>
      <c r="Y25" s="117"/>
      <c r="Z25" s="117"/>
    </row>
    <row r="26" spans="1:26" outlineLevel="1" x14ac:dyDescent="0.25">
      <c r="A26" s="26"/>
      <c r="B26" s="27"/>
      <c r="C26" s="163"/>
      <c r="D26" s="25"/>
      <c r="E26" s="472"/>
      <c r="F26" s="164"/>
      <c r="G26" s="164"/>
      <c r="H26" s="164"/>
      <c r="I26" s="164"/>
      <c r="J26" s="164"/>
      <c r="K26" s="468"/>
      <c r="L26" s="164"/>
      <c r="M26" s="164"/>
      <c r="N26" s="25"/>
      <c r="O26" s="121"/>
      <c r="P26" s="25"/>
      <c r="Q26" s="25"/>
      <c r="R26" s="25"/>
      <c r="S26" s="25"/>
      <c r="T26" s="25"/>
      <c r="U26" s="25"/>
      <c r="V26" s="25"/>
      <c r="Y26" s="117"/>
      <c r="Z26" s="117"/>
    </row>
    <row r="27" spans="1:26" x14ac:dyDescent="0.25">
      <c r="A27" s="23"/>
      <c r="C27" s="160"/>
      <c r="D27" s="25"/>
      <c r="E27" s="461"/>
      <c r="F27" s="161"/>
      <c r="G27" s="161"/>
      <c r="H27" s="161"/>
      <c r="I27" s="161"/>
      <c r="J27" s="161"/>
      <c r="K27" s="466"/>
      <c r="L27" s="161"/>
      <c r="M27" s="161"/>
      <c r="N27" s="25"/>
      <c r="P27" s="25"/>
      <c r="Q27" s="25"/>
      <c r="R27" s="25"/>
      <c r="S27" s="25"/>
      <c r="T27" s="25"/>
      <c r="U27" s="25"/>
      <c r="V27" s="25"/>
      <c r="Y27" s="117"/>
      <c r="Z27" s="117"/>
    </row>
    <row r="28" spans="1:26" x14ac:dyDescent="0.25">
      <c r="A28" s="116" t="s">
        <v>303</v>
      </c>
      <c r="C28" s="461">
        <f>SUM(C29:C31)</f>
        <v>38</v>
      </c>
      <c r="D28" s="25"/>
      <c r="E28" s="461">
        <f>SUM(E29:E31)</f>
        <v>4.8571428571428568</v>
      </c>
      <c r="F28" s="161"/>
      <c r="G28" s="161"/>
      <c r="H28" s="161"/>
      <c r="I28" s="161"/>
      <c r="J28" s="161"/>
      <c r="K28" s="466"/>
      <c r="L28" s="161"/>
      <c r="M28" s="161"/>
      <c r="N28" s="25"/>
      <c r="P28" s="25"/>
      <c r="Q28" s="25"/>
      <c r="R28" s="25"/>
      <c r="S28" s="25"/>
      <c r="T28" s="25"/>
      <c r="U28" s="25"/>
      <c r="V28" s="25"/>
      <c r="X28" s="25"/>
      <c r="Y28" s="117"/>
      <c r="Z28" s="117"/>
    </row>
    <row r="29" spans="1:26" outlineLevel="1" x14ac:dyDescent="0.25">
      <c r="A29" s="23"/>
      <c r="B29" s="16" t="s">
        <v>304</v>
      </c>
      <c r="C29" s="160">
        <v>20</v>
      </c>
      <c r="D29" s="25"/>
      <c r="E29" s="461">
        <f>G29</f>
        <v>0</v>
      </c>
      <c r="F29" s="161">
        <f>+C29</f>
        <v>20</v>
      </c>
      <c r="G29" s="161"/>
      <c r="H29" s="161"/>
      <c r="I29" s="161"/>
      <c r="J29" s="161"/>
      <c r="K29" s="466"/>
      <c r="L29" s="161"/>
      <c r="M29" s="161">
        <f>SUM(F29:L29)</f>
        <v>20</v>
      </c>
      <c r="N29" s="25"/>
      <c r="P29" s="25"/>
      <c r="Q29" s="25"/>
      <c r="R29" s="25"/>
      <c r="S29" s="25"/>
      <c r="T29" s="25"/>
      <c r="U29" s="25"/>
      <c r="V29" s="25"/>
      <c r="Y29" s="117"/>
      <c r="Z29" s="117"/>
    </row>
    <row r="30" spans="1:26" outlineLevel="1" x14ac:dyDescent="0.25">
      <c r="A30" s="23"/>
      <c r="B30" s="16" t="s">
        <v>305</v>
      </c>
      <c r="C30" s="160">
        <v>12</v>
      </c>
      <c r="D30" s="119"/>
      <c r="E30" s="461">
        <f t="shared" ref="E30:E31" si="3">G30</f>
        <v>4</v>
      </c>
      <c r="F30" s="161">
        <f>$C$30/3</f>
        <v>4</v>
      </c>
      <c r="G30" s="161">
        <f t="shared" ref="G30:H30" si="4">$C$30/3</f>
        <v>4</v>
      </c>
      <c r="H30" s="161">
        <f t="shared" si="4"/>
        <v>4</v>
      </c>
      <c r="I30" s="161"/>
      <c r="J30" s="162"/>
      <c r="K30" s="467"/>
      <c r="L30" s="161"/>
      <c r="M30" s="161">
        <f>SUM(F30:L30)</f>
        <v>12</v>
      </c>
      <c r="N30" s="25"/>
      <c r="O30" s="121"/>
      <c r="P30" s="25"/>
      <c r="Q30" s="25"/>
      <c r="R30" s="25"/>
      <c r="S30" s="25"/>
      <c r="T30" s="25"/>
      <c r="U30" s="25"/>
      <c r="V30" s="25"/>
      <c r="Y30" s="117"/>
      <c r="Z30" s="117"/>
    </row>
    <row r="31" spans="1:26" outlineLevel="1" x14ac:dyDescent="0.25">
      <c r="A31" s="23"/>
      <c r="B31" s="16" t="s">
        <v>306</v>
      </c>
      <c r="C31" s="160">
        <v>6</v>
      </c>
      <c r="D31" s="119"/>
      <c r="E31" s="461">
        <f t="shared" si="3"/>
        <v>0.8571428571428571</v>
      </c>
      <c r="F31" s="162">
        <f>$C$31/7</f>
        <v>0.8571428571428571</v>
      </c>
      <c r="G31" s="162">
        <f t="shared" ref="G31:L31" si="5">$C$31/7</f>
        <v>0.8571428571428571</v>
      </c>
      <c r="H31" s="162">
        <f t="shared" si="5"/>
        <v>0.8571428571428571</v>
      </c>
      <c r="I31" s="162">
        <f t="shared" si="5"/>
        <v>0.8571428571428571</v>
      </c>
      <c r="J31" s="162">
        <f t="shared" si="5"/>
        <v>0.8571428571428571</v>
      </c>
      <c r="K31" s="467">
        <f t="shared" si="5"/>
        <v>0.8571428571428571</v>
      </c>
      <c r="L31" s="162">
        <f t="shared" si="5"/>
        <v>0.8571428571428571</v>
      </c>
      <c r="M31" s="161">
        <f>SUM(F31:L31)</f>
        <v>5.9999999999999991</v>
      </c>
      <c r="N31" s="25"/>
      <c r="O31" s="117"/>
      <c r="P31" s="25"/>
      <c r="Q31" s="25"/>
      <c r="R31" s="25"/>
      <c r="S31" s="25"/>
      <c r="T31" s="25"/>
      <c r="U31" s="25"/>
      <c r="V31" s="25"/>
      <c r="Y31" s="117"/>
      <c r="Z31" s="117"/>
    </row>
    <row r="32" spans="1:26" outlineLevel="1" x14ac:dyDescent="0.25">
      <c r="A32" s="26"/>
      <c r="B32" s="27"/>
      <c r="C32" s="163"/>
      <c r="D32" s="25"/>
      <c r="E32" s="472"/>
      <c r="F32" s="164"/>
      <c r="G32" s="164"/>
      <c r="H32" s="164"/>
      <c r="I32" s="164"/>
      <c r="J32" s="164"/>
      <c r="K32" s="468"/>
      <c r="L32" s="164"/>
      <c r="M32" s="164"/>
      <c r="N32" s="25"/>
      <c r="P32" s="25"/>
      <c r="Q32" s="25"/>
      <c r="R32" s="25"/>
      <c r="S32" s="25"/>
      <c r="T32" s="25"/>
      <c r="U32" s="25"/>
      <c r="V32" s="25"/>
      <c r="Y32" s="117"/>
      <c r="Z32" s="117"/>
    </row>
    <row r="33" spans="1:26" x14ac:dyDescent="0.25">
      <c r="A33" s="23"/>
      <c r="C33" s="160"/>
      <c r="D33" s="25"/>
      <c r="E33" s="461"/>
      <c r="F33" s="161"/>
      <c r="G33" s="161"/>
      <c r="H33" s="161"/>
      <c r="I33" s="161"/>
      <c r="J33" s="161"/>
      <c r="K33" s="466"/>
      <c r="L33" s="161"/>
      <c r="M33" s="161"/>
      <c r="N33" s="25"/>
      <c r="P33" s="25"/>
      <c r="Q33" s="25"/>
      <c r="R33" s="25"/>
      <c r="S33" s="25"/>
      <c r="T33" s="25"/>
      <c r="U33" s="25"/>
      <c r="V33" s="25"/>
      <c r="Y33" s="117"/>
      <c r="Z33" s="117"/>
    </row>
    <row r="34" spans="1:26" x14ac:dyDescent="0.25">
      <c r="A34" s="116" t="s">
        <v>307</v>
      </c>
      <c r="C34" s="461">
        <f>SUM(C35:C38)</f>
        <v>85</v>
      </c>
      <c r="D34" s="25"/>
      <c r="E34" s="461">
        <f>SUM(E35:E38)</f>
        <v>12.928571428571429</v>
      </c>
      <c r="F34" s="161"/>
      <c r="G34" s="161"/>
      <c r="H34" s="161"/>
      <c r="I34" s="161"/>
      <c r="J34" s="161"/>
      <c r="K34" s="466"/>
      <c r="L34" s="161"/>
      <c r="M34" s="161"/>
      <c r="N34" s="25"/>
      <c r="P34" s="25"/>
      <c r="Q34" s="25"/>
      <c r="R34" s="25"/>
      <c r="S34" s="25"/>
      <c r="T34" s="25"/>
      <c r="U34" s="25"/>
      <c r="V34" s="25"/>
      <c r="X34" s="25"/>
      <c r="Y34" s="117"/>
      <c r="Z34" s="117"/>
    </row>
    <row r="35" spans="1:26" outlineLevel="1" x14ac:dyDescent="0.25">
      <c r="A35" s="23"/>
      <c r="B35" s="16" t="s">
        <v>308</v>
      </c>
      <c r="C35" s="160">
        <v>18</v>
      </c>
      <c r="D35" s="25"/>
      <c r="E35" s="461">
        <f>G35</f>
        <v>5.5</v>
      </c>
      <c r="F35" s="161">
        <v>7</v>
      </c>
      <c r="G35" s="161">
        <f>(C35-F35)/2</f>
        <v>5.5</v>
      </c>
      <c r="H35" s="161">
        <f>(C35-F35)/2</f>
        <v>5.5</v>
      </c>
      <c r="I35" s="161"/>
      <c r="J35" s="161"/>
      <c r="K35" s="466"/>
      <c r="L35" s="161"/>
      <c r="M35" s="161">
        <f>SUM(F35:L35)</f>
        <v>18</v>
      </c>
      <c r="N35" s="25"/>
      <c r="P35" s="25"/>
      <c r="Q35" s="25"/>
      <c r="R35" s="25"/>
      <c r="S35" s="25"/>
      <c r="T35" s="25"/>
      <c r="U35" s="25"/>
      <c r="V35" s="25"/>
      <c r="Y35" s="117"/>
      <c r="Z35" s="117"/>
    </row>
    <row r="36" spans="1:26" outlineLevel="1" x14ac:dyDescent="0.25">
      <c r="A36" s="23"/>
      <c r="B36" s="16" t="s">
        <v>309</v>
      </c>
      <c r="C36" s="160">
        <v>15</v>
      </c>
      <c r="D36" s="25"/>
      <c r="E36" s="461">
        <f t="shared" ref="E36:E38" si="6">G36</f>
        <v>0</v>
      </c>
      <c r="F36" s="161">
        <f>+C36</f>
        <v>15</v>
      </c>
      <c r="G36" s="161"/>
      <c r="H36" s="161"/>
      <c r="I36" s="161"/>
      <c r="J36" s="161"/>
      <c r="K36" s="466"/>
      <c r="L36" s="161"/>
      <c r="M36" s="161">
        <f>SUM(F36:L36)</f>
        <v>15</v>
      </c>
      <c r="N36" s="25"/>
      <c r="P36" s="25"/>
      <c r="Q36" s="25"/>
      <c r="R36" s="25"/>
      <c r="S36" s="25"/>
      <c r="T36" s="25"/>
      <c r="U36" s="25"/>
      <c r="V36" s="25"/>
      <c r="Y36" s="117"/>
      <c r="Z36" s="117"/>
    </row>
    <row r="37" spans="1:26" outlineLevel="1" x14ac:dyDescent="0.25">
      <c r="A37" s="23"/>
      <c r="B37" s="16" t="s">
        <v>310</v>
      </c>
      <c r="C37" s="160">
        <v>35</v>
      </c>
      <c r="D37" s="25"/>
      <c r="E37" s="461">
        <f t="shared" si="6"/>
        <v>5</v>
      </c>
      <c r="F37" s="161">
        <f>$C$37/7</f>
        <v>5</v>
      </c>
      <c r="G37" s="161">
        <f t="shared" ref="G37:L37" si="7">$C$37/7</f>
        <v>5</v>
      </c>
      <c r="H37" s="161">
        <f t="shared" si="7"/>
        <v>5</v>
      </c>
      <c r="I37" s="161">
        <f t="shared" si="7"/>
        <v>5</v>
      </c>
      <c r="J37" s="161">
        <f t="shared" si="7"/>
        <v>5</v>
      </c>
      <c r="K37" s="466">
        <f t="shared" si="7"/>
        <v>5</v>
      </c>
      <c r="L37" s="161">
        <f t="shared" si="7"/>
        <v>5</v>
      </c>
      <c r="M37" s="161">
        <f>SUM(F37:L37)</f>
        <v>35</v>
      </c>
      <c r="N37" s="25"/>
      <c r="O37" s="117"/>
      <c r="P37" s="25"/>
      <c r="Q37" s="25"/>
      <c r="R37" s="25"/>
      <c r="S37" s="25"/>
      <c r="T37" s="25"/>
      <c r="U37" s="25"/>
      <c r="V37" s="25"/>
      <c r="Y37" s="117"/>
      <c r="Z37" s="117"/>
    </row>
    <row r="38" spans="1:26" outlineLevel="1" x14ac:dyDescent="0.25">
      <c r="A38" s="23"/>
      <c r="B38" s="16" t="s">
        <v>311</v>
      </c>
      <c r="C38" s="160">
        <v>17</v>
      </c>
      <c r="D38" s="119"/>
      <c r="E38" s="461">
        <f t="shared" si="6"/>
        <v>2.4285714285714284</v>
      </c>
      <c r="F38" s="162">
        <f>$C$38/7</f>
        <v>2.4285714285714284</v>
      </c>
      <c r="G38" s="162">
        <f t="shared" ref="G38:L38" si="8">$C$38/7</f>
        <v>2.4285714285714284</v>
      </c>
      <c r="H38" s="162">
        <f t="shared" si="8"/>
        <v>2.4285714285714284</v>
      </c>
      <c r="I38" s="162">
        <f t="shared" si="8"/>
        <v>2.4285714285714284</v>
      </c>
      <c r="J38" s="162">
        <f t="shared" si="8"/>
        <v>2.4285714285714284</v>
      </c>
      <c r="K38" s="467">
        <f t="shared" si="8"/>
        <v>2.4285714285714284</v>
      </c>
      <c r="L38" s="162">
        <f t="shared" si="8"/>
        <v>2.4285714285714284</v>
      </c>
      <c r="M38" s="161">
        <f>SUM(F38:L38)</f>
        <v>17</v>
      </c>
      <c r="N38" s="25"/>
      <c r="O38" s="117"/>
      <c r="P38" s="25"/>
      <c r="Q38" s="25"/>
      <c r="R38" s="25"/>
      <c r="S38" s="25"/>
      <c r="T38" s="25"/>
      <c r="U38" s="25"/>
      <c r="V38" s="25"/>
      <c r="Y38" s="117"/>
      <c r="Z38" s="117"/>
    </row>
    <row r="39" spans="1:26" outlineLevel="1" x14ac:dyDescent="0.25">
      <c r="A39" s="26"/>
      <c r="B39" s="27"/>
      <c r="C39" s="163"/>
      <c r="D39" s="25"/>
      <c r="E39" s="472"/>
      <c r="F39" s="164"/>
      <c r="G39" s="164"/>
      <c r="H39" s="164"/>
      <c r="I39" s="164"/>
      <c r="J39" s="164"/>
      <c r="K39" s="468"/>
      <c r="L39" s="164"/>
      <c r="M39" s="164"/>
      <c r="N39" s="25"/>
      <c r="P39" s="25"/>
      <c r="Q39" s="25"/>
      <c r="R39" s="25"/>
      <c r="S39" s="25"/>
      <c r="T39" s="25"/>
      <c r="U39" s="25"/>
      <c r="V39" s="25"/>
      <c r="Y39" s="117"/>
      <c r="Z39" s="117"/>
    </row>
    <row r="40" spans="1:26" x14ac:dyDescent="0.25">
      <c r="A40" s="23"/>
      <c r="C40" s="160"/>
      <c r="D40" s="25"/>
      <c r="E40" s="461"/>
      <c r="F40" s="161"/>
      <c r="G40" s="161"/>
      <c r="H40" s="161"/>
      <c r="I40" s="161"/>
      <c r="J40" s="161"/>
      <c r="K40" s="466"/>
      <c r="L40" s="161"/>
      <c r="M40" s="161"/>
      <c r="N40" s="25"/>
      <c r="P40" s="25"/>
      <c r="Q40" s="25"/>
      <c r="R40" s="25"/>
      <c r="S40" s="25"/>
      <c r="T40" s="25"/>
      <c r="U40" s="25"/>
      <c r="V40" s="25"/>
      <c r="Y40" s="117"/>
      <c r="Z40" s="117"/>
    </row>
    <row r="41" spans="1:26" x14ac:dyDescent="0.25">
      <c r="A41" s="116" t="s">
        <v>312</v>
      </c>
      <c r="C41" s="461">
        <f>SUM(C42:C44)</f>
        <v>41</v>
      </c>
      <c r="D41" s="25"/>
      <c r="E41" s="461">
        <f>SUM(E42:E44)</f>
        <v>11.095238095238097</v>
      </c>
      <c r="F41" s="161"/>
      <c r="G41" s="161"/>
      <c r="H41" s="161"/>
      <c r="I41" s="161"/>
      <c r="J41" s="161"/>
      <c r="K41" s="466"/>
      <c r="L41" s="161"/>
      <c r="M41" s="161"/>
      <c r="N41" s="25"/>
      <c r="P41" s="25"/>
      <c r="Q41" s="25"/>
      <c r="R41" s="25"/>
      <c r="S41" s="25"/>
      <c r="T41" s="25"/>
      <c r="U41" s="25"/>
      <c r="V41" s="25"/>
      <c r="X41" s="25"/>
      <c r="Y41" s="117"/>
      <c r="Z41" s="117"/>
    </row>
    <row r="42" spans="1:26" outlineLevel="1" x14ac:dyDescent="0.25">
      <c r="A42" s="23"/>
      <c r="B42" s="16" t="s">
        <v>313</v>
      </c>
      <c r="C42" s="160">
        <v>11</v>
      </c>
      <c r="D42" s="25"/>
      <c r="E42" s="461">
        <f>G42</f>
        <v>3</v>
      </c>
      <c r="F42" s="161">
        <v>5</v>
      </c>
      <c r="G42" s="161">
        <f>(C42-F42)/2</f>
        <v>3</v>
      </c>
      <c r="H42" s="161">
        <f>(C42-F42)/2</f>
        <v>3</v>
      </c>
      <c r="I42" s="161"/>
      <c r="J42" s="161"/>
      <c r="K42" s="466"/>
      <c r="L42" s="161"/>
      <c r="M42" s="161">
        <f>SUM(F42:L42)</f>
        <v>11</v>
      </c>
      <c r="N42" s="25"/>
      <c r="P42" s="25"/>
      <c r="Q42" s="25"/>
      <c r="R42" s="25"/>
      <c r="S42" s="25"/>
      <c r="T42" s="25"/>
      <c r="U42" s="25"/>
      <c r="V42" s="25"/>
      <c r="Y42" s="117"/>
      <c r="Z42" s="117"/>
    </row>
    <row r="43" spans="1:26" outlineLevel="1" x14ac:dyDescent="0.25">
      <c r="A43" s="23"/>
      <c r="B43" s="16" t="s">
        <v>314</v>
      </c>
      <c r="C43" s="160">
        <v>20</v>
      </c>
      <c r="D43" s="119"/>
      <c r="E43" s="461">
        <f t="shared" ref="E43:E44" si="9">G43</f>
        <v>6.666666666666667</v>
      </c>
      <c r="F43" s="161">
        <f>$C$43/3</f>
        <v>6.666666666666667</v>
      </c>
      <c r="G43" s="161">
        <f t="shared" ref="G43:H43" si="10">$C$43/3</f>
        <v>6.666666666666667</v>
      </c>
      <c r="H43" s="161">
        <f t="shared" si="10"/>
        <v>6.666666666666667</v>
      </c>
      <c r="I43" s="161"/>
      <c r="J43" s="162"/>
      <c r="K43" s="467"/>
      <c r="L43" s="161"/>
      <c r="M43" s="161">
        <f>SUM(F43:L43)</f>
        <v>20</v>
      </c>
      <c r="N43" s="25"/>
      <c r="O43" s="121"/>
      <c r="P43" s="25"/>
      <c r="Q43" s="25"/>
      <c r="R43" s="25"/>
      <c r="S43" s="25"/>
      <c r="T43" s="25"/>
      <c r="U43" s="25"/>
      <c r="V43" s="25"/>
      <c r="Y43" s="117"/>
      <c r="Z43" s="117"/>
    </row>
    <row r="44" spans="1:26" outlineLevel="1" x14ac:dyDescent="0.25">
      <c r="A44" s="23"/>
      <c r="B44" s="16" t="s">
        <v>315</v>
      </c>
      <c r="C44" s="165">
        <v>10</v>
      </c>
      <c r="D44" s="25"/>
      <c r="E44" s="461">
        <f t="shared" si="9"/>
        <v>1.4285714285714286</v>
      </c>
      <c r="F44" s="162">
        <f>$C$44/7</f>
        <v>1.4285714285714286</v>
      </c>
      <c r="G44" s="162">
        <f t="shared" ref="G44:L44" si="11">$C$44/7</f>
        <v>1.4285714285714286</v>
      </c>
      <c r="H44" s="162">
        <f t="shared" si="11"/>
        <v>1.4285714285714286</v>
      </c>
      <c r="I44" s="162">
        <f t="shared" si="11"/>
        <v>1.4285714285714286</v>
      </c>
      <c r="J44" s="162">
        <f t="shared" si="11"/>
        <v>1.4285714285714286</v>
      </c>
      <c r="K44" s="467">
        <f t="shared" si="11"/>
        <v>1.4285714285714286</v>
      </c>
      <c r="L44" s="162">
        <f t="shared" si="11"/>
        <v>1.4285714285714286</v>
      </c>
      <c r="M44" s="161">
        <f>SUM(F44:L44)</f>
        <v>10</v>
      </c>
      <c r="N44" s="25"/>
      <c r="O44" s="121"/>
      <c r="P44" s="25"/>
      <c r="Q44" s="25"/>
      <c r="R44" s="25"/>
      <c r="S44" s="25"/>
      <c r="T44" s="25"/>
      <c r="U44" s="25"/>
      <c r="V44" s="25"/>
      <c r="Y44" s="117"/>
      <c r="Z44" s="117"/>
    </row>
    <row r="45" spans="1:26" outlineLevel="1" x14ac:dyDescent="0.25">
      <c r="A45" s="26"/>
      <c r="B45" s="27"/>
      <c r="C45" s="163"/>
      <c r="D45" s="25"/>
      <c r="E45" s="472"/>
      <c r="F45" s="164"/>
      <c r="G45" s="164"/>
      <c r="H45" s="164"/>
      <c r="I45" s="164"/>
      <c r="J45" s="164"/>
      <c r="K45" s="468"/>
      <c r="L45" s="164"/>
      <c r="M45" s="164"/>
      <c r="N45" s="25"/>
      <c r="P45" s="25"/>
      <c r="Q45" s="25"/>
      <c r="R45" s="25"/>
      <c r="S45" s="25"/>
      <c r="T45" s="25"/>
      <c r="U45" s="25"/>
      <c r="V45" s="25"/>
      <c r="Y45" s="117"/>
      <c r="Z45" s="117"/>
    </row>
    <row r="46" spans="1:26" x14ac:dyDescent="0.25">
      <c r="A46" s="23"/>
      <c r="C46" s="160"/>
      <c r="D46" s="25"/>
      <c r="E46" s="461"/>
      <c r="F46" s="161"/>
      <c r="G46" s="161"/>
      <c r="H46" s="161"/>
      <c r="I46" s="161"/>
      <c r="J46" s="161"/>
      <c r="K46" s="466"/>
      <c r="L46" s="161"/>
      <c r="M46" s="161"/>
      <c r="N46" s="25"/>
      <c r="P46" s="25"/>
      <c r="Q46" s="25"/>
      <c r="R46" s="25"/>
      <c r="S46" s="25"/>
      <c r="T46" s="25"/>
      <c r="U46" s="25"/>
      <c r="V46" s="25"/>
      <c r="Y46" s="117"/>
      <c r="Z46" s="117"/>
    </row>
    <row r="47" spans="1:26" x14ac:dyDescent="0.25">
      <c r="A47" s="116" t="s">
        <v>316</v>
      </c>
      <c r="C47" s="461">
        <f>SUM(C48:C50)</f>
        <v>18.5</v>
      </c>
      <c r="D47" s="122"/>
      <c r="E47" s="462">
        <f>SUM(E48:E50)</f>
        <v>2.6428571428571428</v>
      </c>
      <c r="F47" s="166"/>
      <c r="G47" s="166"/>
      <c r="H47" s="166"/>
      <c r="I47" s="166"/>
      <c r="J47" s="166"/>
      <c r="K47" s="469"/>
      <c r="L47" s="166"/>
      <c r="M47" s="166"/>
      <c r="N47" s="122"/>
      <c r="O47" s="123"/>
      <c r="P47" s="122"/>
      <c r="Q47" s="122"/>
      <c r="R47" s="122"/>
      <c r="S47" s="122"/>
      <c r="T47" s="122"/>
      <c r="U47" s="122"/>
      <c r="V47" s="122"/>
      <c r="X47" s="25"/>
      <c r="Y47" s="117"/>
      <c r="Z47" s="117"/>
    </row>
    <row r="48" spans="1:26" outlineLevel="1" x14ac:dyDescent="0.25">
      <c r="A48" s="23"/>
      <c r="B48" s="16" t="s">
        <v>317</v>
      </c>
      <c r="C48" s="160">
        <v>11</v>
      </c>
      <c r="D48" s="119"/>
      <c r="E48" s="461">
        <f>G48</f>
        <v>1.5714285714285714</v>
      </c>
      <c r="F48" s="161">
        <f>$C$48/7</f>
        <v>1.5714285714285714</v>
      </c>
      <c r="G48" s="161">
        <f t="shared" ref="G48:L48" si="12">$C$48/7</f>
        <v>1.5714285714285714</v>
      </c>
      <c r="H48" s="161">
        <f t="shared" si="12"/>
        <v>1.5714285714285714</v>
      </c>
      <c r="I48" s="161">
        <f t="shared" si="12"/>
        <v>1.5714285714285714</v>
      </c>
      <c r="J48" s="161">
        <f t="shared" si="12"/>
        <v>1.5714285714285714</v>
      </c>
      <c r="K48" s="466">
        <f t="shared" si="12"/>
        <v>1.5714285714285714</v>
      </c>
      <c r="L48" s="161">
        <f t="shared" si="12"/>
        <v>1.5714285714285714</v>
      </c>
      <c r="M48" s="161">
        <f>SUM(F48:L48)</f>
        <v>11</v>
      </c>
      <c r="N48" s="25"/>
      <c r="O48" s="117"/>
      <c r="P48" s="25"/>
      <c r="Q48" s="25"/>
      <c r="R48" s="25"/>
      <c r="S48" s="25"/>
      <c r="T48" s="25"/>
      <c r="U48" s="25"/>
      <c r="V48" s="25"/>
      <c r="Y48" s="117"/>
      <c r="Z48" s="117"/>
    </row>
    <row r="49" spans="1:26" outlineLevel="1" x14ac:dyDescent="0.25">
      <c r="A49" s="23"/>
      <c r="B49" s="16" t="s">
        <v>318</v>
      </c>
      <c r="C49" s="160">
        <v>7.5</v>
      </c>
      <c r="D49" s="25"/>
      <c r="E49" s="461">
        <f t="shared" ref="E49:E50" si="13">G49</f>
        <v>1.0714285714285714</v>
      </c>
      <c r="F49" s="161">
        <f>$C$49/7</f>
        <v>1.0714285714285714</v>
      </c>
      <c r="G49" s="161">
        <f t="shared" ref="G49:L49" si="14">$C$49/7</f>
        <v>1.0714285714285714</v>
      </c>
      <c r="H49" s="161">
        <f t="shared" si="14"/>
        <v>1.0714285714285714</v>
      </c>
      <c r="I49" s="161">
        <f t="shared" si="14"/>
        <v>1.0714285714285714</v>
      </c>
      <c r="J49" s="161">
        <f t="shared" si="14"/>
        <v>1.0714285714285714</v>
      </c>
      <c r="K49" s="466">
        <f t="shared" si="14"/>
        <v>1.0714285714285714</v>
      </c>
      <c r="L49" s="161">
        <f t="shared" si="14"/>
        <v>1.0714285714285714</v>
      </c>
      <c r="M49" s="161">
        <f>SUM(F49:L49)</f>
        <v>7.4999999999999991</v>
      </c>
      <c r="N49" s="25"/>
      <c r="O49" s="120"/>
      <c r="P49" s="25"/>
      <c r="Q49" s="25"/>
      <c r="R49" s="25"/>
      <c r="S49" s="25"/>
      <c r="T49" s="25"/>
      <c r="U49" s="25"/>
      <c r="V49" s="25"/>
      <c r="Y49" s="117"/>
      <c r="Z49" s="117"/>
    </row>
    <row r="50" spans="1:26" outlineLevel="1" x14ac:dyDescent="0.25">
      <c r="A50" s="23"/>
      <c r="B50" s="16" t="s">
        <v>319</v>
      </c>
      <c r="C50" s="165" t="s">
        <v>320</v>
      </c>
      <c r="D50" s="119"/>
      <c r="E50" s="461">
        <f t="shared" si="13"/>
        <v>0</v>
      </c>
      <c r="F50" s="162"/>
      <c r="G50" s="162"/>
      <c r="H50" s="162"/>
      <c r="I50" s="161"/>
      <c r="J50" s="162"/>
      <c r="K50" s="467"/>
      <c r="L50" s="162"/>
      <c r="M50" s="161">
        <f>SUM(F50:L50)</f>
        <v>0</v>
      </c>
      <c r="N50" s="25"/>
      <c r="P50" s="25"/>
      <c r="Q50" s="25"/>
      <c r="R50" s="25"/>
      <c r="S50" s="25"/>
      <c r="T50" s="25"/>
      <c r="U50" s="25"/>
      <c r="V50" s="25"/>
      <c r="Y50" s="117"/>
      <c r="Z50" s="117"/>
    </row>
    <row r="51" spans="1:26" ht="12" outlineLevel="1" thickBot="1" x14ac:dyDescent="0.3">
      <c r="A51" s="124"/>
      <c r="B51" s="125"/>
      <c r="C51" s="167"/>
      <c r="D51" s="25"/>
      <c r="E51" s="473"/>
      <c r="F51" s="168"/>
      <c r="G51" s="168"/>
      <c r="H51" s="168"/>
      <c r="I51" s="168"/>
      <c r="J51" s="168"/>
      <c r="K51" s="470"/>
      <c r="L51" s="168"/>
      <c r="M51" s="168"/>
      <c r="N51" s="25"/>
      <c r="P51" s="25"/>
      <c r="Q51" s="25"/>
      <c r="R51" s="25"/>
      <c r="S51" s="25"/>
      <c r="T51" s="25"/>
      <c r="U51" s="25"/>
      <c r="V51" s="25"/>
      <c r="Y51" s="117"/>
      <c r="Z51" s="117"/>
    </row>
    <row r="52" spans="1:26" ht="12" thickTop="1" x14ac:dyDescent="0.25">
      <c r="A52" s="23"/>
      <c r="C52" s="160"/>
      <c r="D52" s="25"/>
      <c r="E52" s="461"/>
      <c r="F52" s="161"/>
      <c r="G52" s="161"/>
      <c r="H52" s="161"/>
      <c r="I52" s="161"/>
      <c r="J52" s="161"/>
      <c r="K52" s="466"/>
      <c r="L52" s="161"/>
      <c r="M52" s="161"/>
      <c r="N52" s="25"/>
      <c r="P52" s="25"/>
      <c r="Q52" s="25"/>
      <c r="R52" s="25"/>
      <c r="S52" s="25"/>
      <c r="T52" s="25"/>
      <c r="U52" s="25"/>
      <c r="V52" s="25"/>
      <c r="Y52" s="117"/>
      <c r="Z52" s="117"/>
    </row>
    <row r="53" spans="1:26" x14ac:dyDescent="0.25">
      <c r="A53" s="116" t="s">
        <v>321</v>
      </c>
      <c r="C53" s="461">
        <f>+C9+C11+C17+C22+C28+C34+C41+C47</f>
        <v>357.5</v>
      </c>
      <c r="D53" s="25"/>
      <c r="E53" s="461">
        <f>+E9+E11+E22+E28+E34+E41+E47</f>
        <v>49.047619047619051</v>
      </c>
      <c r="F53" s="161">
        <f>SUM(F8:F51)</f>
        <v>198.54761904761904</v>
      </c>
      <c r="G53" s="161">
        <f t="shared" ref="G53:L53" si="15">SUM(G8:G51)</f>
        <v>49.047619047619044</v>
      </c>
      <c r="H53" s="161">
        <f t="shared" si="15"/>
        <v>49.047619047619044</v>
      </c>
      <c r="I53" s="161">
        <f t="shared" si="15"/>
        <v>15.214285714285715</v>
      </c>
      <c r="J53" s="161">
        <f t="shared" si="15"/>
        <v>15.214285714285715</v>
      </c>
      <c r="K53" s="466">
        <f t="shared" si="15"/>
        <v>15.214285714285715</v>
      </c>
      <c r="L53" s="161">
        <f t="shared" si="15"/>
        <v>15.214285714285715</v>
      </c>
      <c r="M53" s="161">
        <f>SUM(F53:L53)</f>
        <v>357.5</v>
      </c>
      <c r="N53" s="25"/>
      <c r="P53" s="25"/>
      <c r="Q53" s="25"/>
      <c r="R53" s="25"/>
      <c r="S53" s="25"/>
      <c r="T53" s="25"/>
      <c r="U53" s="25"/>
      <c r="V53" s="25"/>
      <c r="X53" s="25"/>
      <c r="Y53" s="117"/>
      <c r="Z53" s="117"/>
    </row>
    <row r="54" spans="1:26" ht="12" thickBot="1" x14ac:dyDescent="0.3">
      <c r="A54" s="124"/>
      <c r="B54" s="125"/>
      <c r="C54" s="126"/>
      <c r="D54" s="25"/>
      <c r="E54" s="474"/>
      <c r="F54" s="127"/>
      <c r="G54" s="127"/>
      <c r="H54" s="127"/>
      <c r="I54" s="127"/>
      <c r="J54" s="127"/>
      <c r="K54" s="471"/>
      <c r="L54" s="127"/>
      <c r="M54" s="127"/>
      <c r="N54" s="25"/>
      <c r="P54" s="25"/>
      <c r="Q54" s="25"/>
      <c r="R54" s="25"/>
      <c r="S54" s="25"/>
      <c r="T54" s="25"/>
      <c r="U54" s="25"/>
      <c r="V54" s="25"/>
    </row>
    <row r="55" spans="1:26" ht="12.5" thickTop="1" thickBot="1" x14ac:dyDescent="0.3">
      <c r="A55" s="23"/>
      <c r="C55" s="114"/>
      <c r="D55" s="25"/>
      <c r="E55" s="484"/>
      <c r="F55" s="115"/>
      <c r="G55" s="115"/>
      <c r="H55" s="115"/>
      <c r="I55" s="115"/>
      <c r="J55" s="115"/>
      <c r="K55" s="115"/>
      <c r="L55" s="114"/>
      <c r="M55" s="115"/>
      <c r="N55" s="25"/>
      <c r="P55" s="25"/>
      <c r="Q55" s="25"/>
      <c r="R55" s="25"/>
      <c r="S55" s="25"/>
      <c r="T55" s="25"/>
      <c r="U55" s="25"/>
      <c r="V55" s="25"/>
    </row>
    <row r="56" spans="1:26" x14ac:dyDescent="0.25">
      <c r="A56" s="475" t="s">
        <v>65</v>
      </c>
      <c r="B56" s="476"/>
      <c r="C56" s="477">
        <f>SUM(C53:C53)</f>
        <v>357.5</v>
      </c>
      <c r="D56" s="25"/>
      <c r="E56" s="485">
        <f>SUM(E53:E53)</f>
        <v>49.047619047619051</v>
      </c>
      <c r="F56" s="481">
        <f t="shared" ref="F56:M56" si="16">SUM(F53:F53)</f>
        <v>198.54761904761904</v>
      </c>
      <c r="G56" s="481">
        <f>SUM(G53:G53)</f>
        <v>49.047619047619044</v>
      </c>
      <c r="H56" s="481">
        <f t="shared" si="16"/>
        <v>49.047619047619044</v>
      </c>
      <c r="I56" s="481">
        <f t="shared" si="16"/>
        <v>15.214285714285715</v>
      </c>
      <c r="J56" s="481">
        <f t="shared" si="16"/>
        <v>15.214285714285715</v>
      </c>
      <c r="K56" s="481">
        <f t="shared" si="16"/>
        <v>15.214285714285715</v>
      </c>
      <c r="L56" s="482">
        <f t="shared" si="16"/>
        <v>15.214285714285715</v>
      </c>
      <c r="M56" s="481">
        <f t="shared" si="16"/>
        <v>357.5</v>
      </c>
      <c r="N56" s="170"/>
      <c r="P56" s="25"/>
      <c r="Q56" s="25"/>
      <c r="R56" s="25"/>
      <c r="S56" s="25"/>
      <c r="T56" s="25"/>
      <c r="U56" s="25"/>
      <c r="V56" s="25"/>
    </row>
    <row r="57" spans="1:26" x14ac:dyDescent="0.25">
      <c r="A57" s="478"/>
      <c r="B57" s="479"/>
      <c r="C57" s="480"/>
      <c r="D57" s="25"/>
      <c r="E57" s="480"/>
      <c r="F57" s="483"/>
      <c r="G57" s="483"/>
      <c r="H57" s="483"/>
      <c r="I57" s="483"/>
      <c r="J57" s="483"/>
      <c r="K57" s="483"/>
      <c r="L57" s="480"/>
      <c r="M57" s="483"/>
      <c r="N57" s="25"/>
      <c r="P57" s="25"/>
      <c r="Q57" s="25"/>
      <c r="R57" s="25"/>
      <c r="S57" s="25"/>
      <c r="T57" s="25"/>
      <c r="U57" s="25"/>
      <c r="V57" s="25"/>
    </row>
    <row r="58" spans="1:26" ht="12" hidden="1" thickBot="1" x14ac:dyDescent="0.3">
      <c r="A58" s="132"/>
      <c r="B58" s="129"/>
      <c r="C58" s="130"/>
      <c r="D58" s="25"/>
      <c r="E58" s="130"/>
      <c r="F58" s="131"/>
      <c r="G58" s="131"/>
      <c r="H58" s="131"/>
      <c r="I58" s="131"/>
      <c r="J58" s="131"/>
      <c r="K58" s="133"/>
      <c r="L58" s="130"/>
      <c r="M58" s="131"/>
      <c r="N58" s="25"/>
      <c r="P58" s="128"/>
      <c r="Q58" s="128"/>
      <c r="R58" s="128"/>
      <c r="S58" s="128"/>
      <c r="T58" s="128"/>
      <c r="U58" s="128"/>
      <c r="V58" s="128"/>
    </row>
    <row r="59" spans="1:26" x14ac:dyDescent="0.25">
      <c r="C59" s="117"/>
      <c r="D59" s="117"/>
      <c r="E59" s="117"/>
      <c r="F59" s="117"/>
      <c r="G59" s="117"/>
      <c r="H59" s="117"/>
      <c r="I59" s="117"/>
      <c r="J59" s="117"/>
      <c r="K59" s="117"/>
      <c r="L59" s="117"/>
      <c r="M59" s="117"/>
      <c r="N59" s="117"/>
    </row>
    <row r="60" spans="1:26" x14ac:dyDescent="0.25">
      <c r="C60" s="117"/>
      <c r="D60" s="117"/>
      <c r="E60" s="134"/>
      <c r="F60" s="134"/>
      <c r="G60" s="159"/>
      <c r="H60" s="134"/>
      <c r="I60" s="134"/>
      <c r="J60" s="134"/>
      <c r="K60" s="134"/>
      <c r="L60" s="134"/>
      <c r="M60" s="134"/>
      <c r="N60" s="117"/>
      <c r="P60" s="134"/>
      <c r="Q60" s="134"/>
      <c r="R60" s="134"/>
      <c r="S60" s="134"/>
      <c r="T60" s="134"/>
      <c r="U60" s="134"/>
      <c r="V60" s="134"/>
    </row>
    <row r="61" spans="1:26" x14ac:dyDescent="0.25">
      <c r="C61" s="117"/>
      <c r="D61" s="117"/>
      <c r="E61" s="117"/>
      <c r="F61" s="117"/>
      <c r="G61" s="117"/>
      <c r="H61" s="117"/>
      <c r="I61" s="117"/>
      <c r="J61" s="117"/>
      <c r="K61" s="117"/>
      <c r="L61" s="117"/>
      <c r="M61" s="117"/>
      <c r="N61" s="117"/>
    </row>
    <row r="62" spans="1:26" x14ac:dyDescent="0.25">
      <c r="C62" s="117"/>
      <c r="D62" s="117"/>
      <c r="E62" s="117"/>
      <c r="F62" s="117"/>
      <c r="G62" s="117"/>
      <c r="H62" s="117"/>
      <c r="I62" s="117"/>
      <c r="J62" s="117"/>
      <c r="K62" s="117"/>
      <c r="L62" s="117"/>
      <c r="M62" s="117"/>
      <c r="N62" s="117"/>
    </row>
    <row r="63" spans="1:26" x14ac:dyDescent="0.25">
      <c r="C63" s="117"/>
      <c r="D63" s="117"/>
      <c r="E63" s="117"/>
      <c r="F63" s="117"/>
      <c r="G63" s="157"/>
      <c r="H63" s="117"/>
      <c r="I63" s="117"/>
      <c r="J63" s="117"/>
      <c r="K63" s="117"/>
      <c r="L63" s="117"/>
      <c r="M63" s="117"/>
      <c r="N63" s="117"/>
    </row>
    <row r="64" spans="1:26" x14ac:dyDescent="0.25">
      <c r="C64" s="117"/>
      <c r="D64" s="117"/>
      <c r="E64" s="117"/>
      <c r="F64" s="117"/>
      <c r="G64" s="158"/>
      <c r="H64" s="117"/>
      <c r="I64" s="117"/>
      <c r="J64" s="117"/>
      <c r="K64" s="117"/>
      <c r="L64" s="117"/>
      <c r="M64" s="117"/>
      <c r="N64" s="117"/>
    </row>
    <row r="65" spans="1:15" x14ac:dyDescent="0.25">
      <c r="C65" s="117"/>
      <c r="D65" s="117"/>
      <c r="E65" s="117"/>
      <c r="F65" s="117"/>
      <c r="G65" s="117"/>
      <c r="H65" s="117"/>
      <c r="I65" s="117"/>
      <c r="J65" s="117"/>
      <c r="K65" s="117"/>
      <c r="L65" s="117"/>
      <c r="M65" s="117"/>
      <c r="N65" s="117"/>
    </row>
    <row r="66" spans="1:15" s="135" customFormat="1" x14ac:dyDescent="0.25">
      <c r="A66" s="16"/>
      <c r="B66" s="16"/>
      <c r="C66" s="117"/>
      <c r="D66" s="117"/>
      <c r="E66" s="117"/>
      <c r="F66" s="117"/>
      <c r="G66" s="117"/>
      <c r="H66" s="117"/>
      <c r="I66" s="117"/>
      <c r="J66" s="117"/>
      <c r="K66" s="117"/>
      <c r="L66" s="117"/>
      <c r="M66" s="117"/>
      <c r="N66" s="117"/>
      <c r="O66" s="16"/>
    </row>
    <row r="67" spans="1:15" s="135" customFormat="1" x14ac:dyDescent="0.25">
      <c r="A67" s="16"/>
      <c r="B67" s="16"/>
      <c r="C67" s="117"/>
      <c r="D67" s="117"/>
      <c r="E67" s="117"/>
      <c r="F67" s="117"/>
      <c r="G67" s="117"/>
      <c r="H67" s="117"/>
      <c r="I67" s="117"/>
      <c r="J67" s="117"/>
      <c r="K67" s="117"/>
      <c r="L67" s="117"/>
      <c r="M67" s="117"/>
      <c r="N67" s="117"/>
      <c r="O67" s="16"/>
    </row>
  </sheetData>
  <mergeCells count="4">
    <mergeCell ref="A7:B7"/>
    <mergeCell ref="A2:M4"/>
    <mergeCell ref="A5:C6"/>
    <mergeCell ref="E5:M6"/>
  </mergeCells>
  <pageMargins left="0.7" right="0.7" top="0.75" bottom="0.75" header="0.3" footer="0.3"/>
  <pageSetup paperSize="5" scale="62" orientation="landscape"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57011bc-0a59-46e1-9004-ec215979dd0f" xsi:nil="true"/>
    <lcf76f155ced4ddcb4097134ff3c332f xmlns="2dfc16eb-708d-4ec9-8c01-531c9e227399">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15AE1FFC98EB74286A4F6C25286592C" ma:contentTypeVersion="16" ma:contentTypeDescription="Create a new document." ma:contentTypeScope="" ma:versionID="f0d29d9c6508f4bb436612ed1a3bea1c">
  <xsd:schema xmlns:xsd="http://www.w3.org/2001/XMLSchema" xmlns:xs="http://www.w3.org/2001/XMLSchema" xmlns:p="http://schemas.microsoft.com/office/2006/metadata/properties" xmlns:ns2="2dfc16eb-708d-4ec9-8c01-531c9e227399" xmlns:ns3="857011bc-0a59-46e1-9004-ec215979dd0f" targetNamespace="http://schemas.microsoft.com/office/2006/metadata/properties" ma:root="true" ma:fieldsID="541e1aa713ccfb3245ab5772c056387b" ns2:_="" ns3:_="">
    <xsd:import namespace="2dfc16eb-708d-4ec9-8c01-531c9e227399"/>
    <xsd:import namespace="857011bc-0a59-46e1-9004-ec215979dd0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ServiceObjectDetectorVersion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fc16eb-708d-4ec9-8c01-531c9e22739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341d824f-8fcb-403c-8eb0-24d834084a57"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dexed="true" ma:internalName="MediaServiceDateTake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57011bc-0a59-46e1-9004-ec215979dd0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deffb4d3-17c7-4c14-b09e-642657e6681f}" ma:internalName="TaxCatchAll" ma:showField="CatchAllData" ma:web="857011bc-0a59-46e1-9004-ec215979dd0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8B4A8F5-E440-4C01-B332-409D4D3967D0}">
  <ds:schemaRefs>
    <ds:schemaRef ds:uri="http://purl.org/dc/elements/1.1/"/>
    <ds:schemaRef ds:uri="http://schemas.microsoft.com/office/infopath/2007/PartnerControls"/>
    <ds:schemaRef ds:uri="http://schemas.microsoft.com/office/2006/documentManagement/types"/>
    <ds:schemaRef ds:uri="857011bc-0a59-46e1-9004-ec215979dd0f"/>
    <ds:schemaRef ds:uri="http://purl.org/dc/dcmitype/"/>
    <ds:schemaRef ds:uri="http://www.w3.org/XML/1998/namespace"/>
    <ds:schemaRef ds:uri="http://schemas.openxmlformats.org/package/2006/metadata/core-properties"/>
    <ds:schemaRef ds:uri="2dfc16eb-708d-4ec9-8c01-531c9e227399"/>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7632D25F-B0EC-4F87-9C06-7B4A3CBB67B4}">
  <ds:schemaRefs>
    <ds:schemaRef ds:uri="http://schemas.microsoft.com/sharepoint/v3/contenttype/forms"/>
  </ds:schemaRefs>
</ds:datastoreItem>
</file>

<file path=customXml/itemProps3.xml><?xml version="1.0" encoding="utf-8"?>
<ds:datastoreItem xmlns:ds="http://schemas.openxmlformats.org/officeDocument/2006/customXml" ds:itemID="{02A2D83E-220B-4701-8A33-52B3A77F8E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dfc16eb-708d-4ec9-8c01-531c9e227399"/>
    <ds:schemaRef ds:uri="857011bc-0a59-46e1-9004-ec215979dd0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vt:i4>
      </vt:variant>
    </vt:vector>
  </HeadingPairs>
  <TitlesOfParts>
    <vt:vector size="13" baseType="lpstr">
      <vt:lpstr>Read me</vt:lpstr>
      <vt:lpstr>Tab 1 - WTP Summary</vt:lpstr>
      <vt:lpstr>Tab 2 - WTP Future + Current</vt:lpstr>
      <vt:lpstr>Tab 3 - WTP Historic </vt:lpstr>
      <vt:lpstr>Tab 4 - WTP Capital </vt:lpstr>
      <vt:lpstr>Tab 5 - WTP Capacity </vt:lpstr>
      <vt:lpstr>Tab 6 - WWTP Summary</vt:lpstr>
      <vt:lpstr>Tab 7 - WWTP Future + Current</vt:lpstr>
      <vt:lpstr>Tab 8 - WWTP Historic</vt:lpstr>
      <vt:lpstr>Tab 9 - WWTP Capital</vt:lpstr>
      <vt:lpstr>Tab 10 - WWTP Capacity</vt:lpstr>
      <vt:lpstr>Tab 11 - WWTP Pine Creek Costs </vt:lpstr>
      <vt:lpstr>'Tab 9 - WWTP Capital'!Print_Titles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Jia, Belinda</dc:creator>
  <cp:keywords/>
  <dc:description/>
  <cp:lastModifiedBy>Daya, Shelina</cp:lastModifiedBy>
  <cp:revision/>
  <dcterms:created xsi:type="dcterms:W3CDTF">2020-04-27T23:13:41Z</dcterms:created>
  <dcterms:modified xsi:type="dcterms:W3CDTF">2023-09-15T20:04:10Z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0x010100315AE1FFC98EB74286A4F6C25286592C</vt:lpwstr>
  </property>
  <property fmtid="{D5CDD505-2E9C-101B-9397-08002B2CF9AE}" pid="3" name="MediaServiceImageTags">
    <vt:lpwstr/>
  </property>
</Properties>
</file>